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LCIENCIAS\dpyate\INSTITUCIONALES\DIANA YATE VIRGUES\2018\COMITÉS\COMDIR\TEMAS COMDIR 06112018\"/>
    </mc:Choice>
  </mc:AlternateContent>
  <bookViews>
    <workbookView xWindow="0" yWindow="0" windowWidth="20340" windowHeight="7050"/>
  </bookViews>
  <sheets>
    <sheet name="Portada" sheetId="3" r:id="rId1"/>
    <sheet name="Seguimiento PEI 3er trimestre" sheetId="1" r:id="rId2"/>
  </sheets>
  <definedNames>
    <definedName name="_xlnm.Print_Area" localSheetId="1">'Seguimiento PEI 3er trimestre'!$A$1:$U$27</definedName>
    <definedName name="_xlnm.Print_Titles" localSheetId="1">'Seguimiento PEI 3er trimestre'!$1:$8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1" l="1"/>
  <c r="S19" i="1" l="1"/>
  <c r="R15" i="1"/>
  <c r="P16" i="1"/>
  <c r="R12" i="1"/>
  <c r="P12" i="1"/>
  <c r="P13" i="1"/>
  <c r="S12" i="1"/>
  <c r="R11" i="1"/>
  <c r="P9" i="1"/>
  <c r="M11" i="1" l="1"/>
  <c r="N11" i="1"/>
  <c r="R9" i="1"/>
  <c r="P24" i="1"/>
  <c r="S24" i="1"/>
  <c r="R24" i="1"/>
  <c r="R23" i="1"/>
  <c r="S23" i="1"/>
  <c r="N24" i="1"/>
  <c r="P21" i="1"/>
  <c r="P22" i="1"/>
  <c r="S22" i="1"/>
  <c r="N22" i="1"/>
  <c r="R19" i="1"/>
  <c r="P19" i="1"/>
  <c r="N19" i="1"/>
  <c r="N21" i="1"/>
  <c r="P17" i="1"/>
  <c r="S16" i="1"/>
  <c r="R16" i="1"/>
  <c r="Q16" i="1"/>
  <c r="N16" i="1"/>
  <c r="S15" i="1"/>
  <c r="P15" i="1"/>
  <c r="N15" i="1" l="1"/>
  <c r="S14" i="1"/>
  <c r="P14" i="1"/>
  <c r="N14" i="1"/>
  <c r="S13" i="1"/>
  <c r="R13" i="1"/>
  <c r="N13" i="1"/>
  <c r="M13" i="1"/>
  <c r="Q12" i="1"/>
  <c r="P11" i="1"/>
  <c r="P10" i="1"/>
  <c r="N12" i="1"/>
  <c r="S11" i="1"/>
  <c r="S10" i="1"/>
  <c r="Q11" i="1"/>
  <c r="N9" i="1" l="1"/>
  <c r="M16" i="1" l="1"/>
  <c r="M15" i="1" l="1"/>
  <c r="L15" i="1" l="1"/>
  <c r="R21" i="1" l="1"/>
  <c r="S21" i="1"/>
  <c r="R22" i="1"/>
  <c r="Q22" i="1" l="1"/>
  <c r="M22" i="1"/>
  <c r="Q19" i="1"/>
  <c r="R17" i="1"/>
  <c r="S17" i="1" s="1"/>
  <c r="Q9" i="1"/>
  <c r="M12" i="1"/>
  <c r="S9" i="1"/>
  <c r="R18" i="1" l="1"/>
  <c r="S18" i="1" s="1"/>
  <c r="Q13" i="1" l="1"/>
  <c r="P20" i="1"/>
  <c r="R20" i="1" l="1"/>
  <c r="S20" i="1" s="1"/>
</calcChain>
</file>

<file path=xl/sharedStrings.xml><?xml version="1.0" encoding="utf-8"?>
<sst xmlns="http://schemas.openxmlformats.org/spreadsheetml/2006/main" count="121" uniqueCount="83">
  <si>
    <t>I</t>
  </si>
  <si>
    <t>II</t>
  </si>
  <si>
    <t>III</t>
  </si>
  <si>
    <t>IV</t>
  </si>
  <si>
    <t xml:space="preserve">MATRIZ DE SEGUIMIENTO PLAN ESTRATÉGICO INSTITUCIONAL </t>
  </si>
  <si>
    <t>Objetivo estratégico</t>
  </si>
  <si>
    <t>Indicador Estratégico</t>
  </si>
  <si>
    <t>Frecuencia de medición</t>
  </si>
  <si>
    <t>Meta cuatrienio</t>
  </si>
  <si>
    <t>Área responsable</t>
  </si>
  <si>
    <t>Meta
2015</t>
  </si>
  <si>
    <t>Meta
2016</t>
  </si>
  <si>
    <t>Meta
2017</t>
  </si>
  <si>
    <t>Meta
2018</t>
  </si>
  <si>
    <t>Mejorar la calidad y el impacto de la investigación y la transferencia de conocimiento y tecnología</t>
  </si>
  <si>
    <t>Becas para la formación de maestría y doctorado nacional y exterior financiados por Colciencias y otras entidades</t>
  </si>
  <si>
    <t>Trimestral</t>
  </si>
  <si>
    <t>N/A</t>
  </si>
  <si>
    <t>Promover el desarrollo tecnológico y la innovación como motor de crecimiento empresarial y del emprendimiento</t>
  </si>
  <si>
    <t>Empresas apoyadas en procesos de innovación por Colciencias</t>
  </si>
  <si>
    <t>Semestral</t>
  </si>
  <si>
    <t>Generar una cultura que valore y gestione el conocimiento y la innovación</t>
  </si>
  <si>
    <t>Personas sensibilizadas a través de estrategias enfocadas en el uso, apropiación y utilidad de la CTeI</t>
  </si>
  <si>
    <t>Niños y jóvenes apoyados en procesos de vocación científica y tecnológica</t>
  </si>
  <si>
    <t>Desarrollar un sistema e institucionalidad habilitante para la CTeI</t>
  </si>
  <si>
    <t>Ciudades con pacto por la innovación en ejecución</t>
  </si>
  <si>
    <t>Políticas CTeI aprobadas y en implementación</t>
  </si>
  <si>
    <t>Porcentaje de los recursos ejecutados a través del FFJC por entidades aportantes diferentes a Colciencias</t>
  </si>
  <si>
    <t>Desarrollar proyectos estratégicos y de impacto en CTeI a través de la articulación de recursos de la nación, los departamentos y otros actores</t>
  </si>
  <si>
    <t>Generar vínculos entre los actores del SNCTI y actores internacionales estratégicos</t>
  </si>
  <si>
    <t>Convertir a COLCIENCIAS en Ágil, Moderna y Transparente</t>
  </si>
  <si>
    <t xml:space="preserve">Índice Ágil, Transparente y Moderna (ATM) </t>
  </si>
  <si>
    <t>Propiciar condiciones para conocer valorar conservar y aprovechar nuestra biodiversidad</t>
  </si>
  <si>
    <t>Mensual</t>
  </si>
  <si>
    <t>Anual</t>
  </si>
  <si>
    <t>Resultado 2015</t>
  </si>
  <si>
    <t>Dirección de Fomento a la Investigación</t>
  </si>
  <si>
    <t>Dirección de Desarrollo Tecnológico e Innovación</t>
  </si>
  <si>
    <t>Dirección de Mentalidad y Cultura para la CTeI</t>
  </si>
  <si>
    <t>Subdirección General</t>
  </si>
  <si>
    <t>Dirección de Fomento a la Investigación
Dirección de Desarrollo Tecnológico e Innovación
Dirección de Mentalidad y Cultura para la CTeI</t>
  </si>
  <si>
    <t>Equipo de Gestión Territorial</t>
  </si>
  <si>
    <t>Línea de base</t>
  </si>
  <si>
    <t>Equipo de Internacionalización</t>
  </si>
  <si>
    <t>Dirección Administrativa y Financiera
Equipo de Comunicaciones
Secretaría General
Oficina de Control Interno
Oficina de TIC
Oficina Asesora de Planeación</t>
  </si>
  <si>
    <t>Dirección General</t>
  </si>
  <si>
    <t>Proyectos de investigación apoyados</t>
  </si>
  <si>
    <t>SEGUIMIENTO TRIMESTRAL PLAN ESTRATÉGICO INSTITUCIONAL 2015-2018</t>
  </si>
  <si>
    <t>Avance Meta Cuatrienio</t>
  </si>
  <si>
    <t>Nuevos registros de especies en el Global Biodiversity Information Facility (GBIF) aportadas por Colombia</t>
  </si>
  <si>
    <t>250.000
(2015</t>
  </si>
  <si>
    <t>Resultado 2016</t>
  </si>
  <si>
    <t>% de avance de meta cuatrienio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</si>
  <si>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</si>
  <si>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</si>
  <si>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</si>
  <si>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 xml:space="preserve">
* Se declara el plan estratégico institucional como el mismo plan estratégico sectorial por ser Colciencias cabeza de sector y no tener instituciones o entidades adscritas
** Cifras acumuladas 
***N/A: No aplica. Refiere a que no se programa  meta para el trimestre</t>
  </si>
  <si>
    <t>Avance Trimestral  2018</t>
  </si>
  <si>
    <t>% de avance de la meta 2018</t>
  </si>
  <si>
    <t>Resultado 2017</t>
  </si>
  <si>
    <t>Planes y acuerdos suscrito y acompañados</t>
  </si>
  <si>
    <t>Licenciamientos tecnológicos apoyados</t>
  </si>
  <si>
    <r>
      <rPr>
        <b/>
        <sz val="12"/>
        <color theme="1"/>
        <rFont val="Segoe UI"/>
        <family val="2"/>
      </rPr>
      <t xml:space="preserve">Análisis cualitativo:
</t>
    </r>
    <r>
      <rPr>
        <sz val="12"/>
        <color theme="1"/>
        <rFont val="Segoe UI"/>
        <family val="2"/>
      </rPr>
      <t>El indicador de Ciudades con Pacto, cumplió meta cuatrienio y se tenia prevista hasta 2017. No obstante desde la Desde la Dirección de Desarrollo Tecnológico e Innovación, se han proyectado implementar la Sostenibilidad de Pactos, cuyos resultados aportarán a la meta de "Empresas apoyadas en Procesos de Innovación para el tercer y cuatro trimestre de la vigencia 2018.</t>
    </r>
    <r>
      <rPr>
        <b/>
        <sz val="12"/>
        <color theme="1"/>
        <rFont val="Segoe UI"/>
        <family val="2"/>
      </rPr>
      <t xml:space="preserve">
Conclusiones/Recomendaciones</t>
    </r>
    <r>
      <rPr>
        <sz val="12"/>
        <color theme="1"/>
        <rFont val="Segoe UI"/>
        <family val="2"/>
      </rPr>
      <t xml:space="preserve">
Finalizado el proceso de suscricpión de los pactos, es necesario que desde la Dirección de Desarrollo Tecnológico e Innovación se implementen estrategias de seguimiento a los resultados de dichos pactos en las ciudades que se adhirieron a este compromiso.</t>
    </r>
  </si>
  <si>
    <t>Artículos científicos publicados en revistas científicas especializadas por investigadores colombianos ****</t>
  </si>
  <si>
    <t>Registros de patentes solicitadas por residentes en oficina nacional y PCT****</t>
  </si>
  <si>
    <t>Porcentaje de asignación del cupo de inversión para deducción tributaria****</t>
  </si>
  <si>
    <t>Alianzas Estratégicas internacionales en términos de recursos y capital político****</t>
  </si>
  <si>
    <t xml:space="preserve">**** Este indicador es de acumulación tipo flujo, a través del cual se miden los logros en aquellas actividades que se repiten cada año y alo largo de este, sin que los resultados de un año afecten los del año anterior o el siguiente. El logro del cuatrienio está determinado por el desempeño del último año, por lo que la línea base corresponde al resultados alcanzado en el último año del cuatrienio inmediatamente anterior. </t>
  </si>
  <si>
    <r>
      <t xml:space="preserve">A 30 de septiembre de 2018, se presenta avance cuantitativo del indicador de 1.398  becas de maestría y doctorado nacional y exterior; y la gestión asociada se registra a continuación
</t>
    </r>
    <r>
      <rPr>
        <b/>
        <sz val="12"/>
        <color theme="1"/>
        <rFont val="Segoe UI"/>
        <family val="2"/>
      </rPr>
      <t>Formación de capital humano para la CTeI</t>
    </r>
    <r>
      <rPr>
        <sz val="12"/>
        <color theme="1"/>
        <rFont val="Segoe UI"/>
        <family val="2"/>
      </rPr>
      <t xml:space="preserve">
Respecto a la Convocatoria de formación para estudios de maestría y doctorado en el exterior COLFUTURO,  su apertura se dió el 9 de enero de 2018 y el cierre 28 de febrero. Durante el mes de junio se hizo oficial el otorgamiento de 1.365 créditos beca para estudios de maestría y doctorado, con lo cual se dio inicio al proceso de legalización de los mismos. De estas becas se otorgan 143 becas de doctorado y 1222 becas para maestrías, del total de becarios se beneficio a personas de grupos priorizados así: 17 beneficiarios de grupos afrodescendientes y 8 personas procedentes de comunidades indígenas.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tuvo cierre el 15 de mayo. A la convocatoria se presentaron 132 propuestas de candidatos, al corte del 30 de septiembre se tiene ya definida la lista de candidatos que fueron elegidos determinando un total de 20 becas de doctorado en el exterior, de forma paralela se comenzó a trabajar  en el contrato que da paso a la operación de apoyo (LASPAU) con Fulbright y se inició el proceso de acompañamiento de mejoramiento de perfil de los candidatos. 
</t>
    </r>
    <r>
      <rPr>
        <b/>
        <sz val="12"/>
        <color theme="1"/>
        <rFont val="Segoe UI"/>
        <family val="2"/>
      </rPr>
      <t>Articulación de oferta y demanda para recurso humano de alto nivel</t>
    </r>
    <r>
      <rPr>
        <sz val="12"/>
        <color theme="1"/>
        <rFont val="Segoe UI"/>
        <family val="2"/>
      </rPr>
      <t xml:space="preserve">
En este período se avanzó, en la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Para la iniciativa del portafolio para la conformación de becarios se hace la publicación del portal en donde se encuentra la información que se enmarca en la fase 1 de la convocatoria 811 - Programa de estancias postdoctorales para beneficiarios de formación Colciencias en entidades del SNCTeI.
</t>
    </r>
    <r>
      <rPr>
        <b/>
        <sz val="12"/>
        <color theme="1"/>
        <rFont val="Segoe UI"/>
        <family val="2"/>
      </rPr>
      <t>Conclusiones/Recomendaciones</t>
    </r>
    <r>
      <rPr>
        <sz val="12"/>
        <color theme="1"/>
        <rFont val="Segoe UI"/>
        <family val="2"/>
      </rPr>
      <t xml:space="preserve">
El indicador presentó resultados, de acuerdo a las propuestas elegidas desde la convocatoria de COLFUTURO y Fulbright.
Teniendo en cuenta el rezago frente a la meta cuatrienio, se recomienda a la Dirección de Fomento a la Investigación monitorear sobre todo los aportes desde las regiones que permitan cumplir tanto la meta para esta vigencia, como disminuir el rezago en el número de becas de años anteriores.</t>
    </r>
  </si>
  <si>
    <r>
      <rPr>
        <b/>
        <sz val="12"/>
        <color theme="1"/>
        <rFont val="Segoe UI"/>
        <family val="2"/>
      </rPr>
      <t>Análisis cualitativo:</t>
    </r>
    <r>
      <rPr>
        <sz val="12"/>
        <color theme="1"/>
        <rFont val="Segoe UI"/>
        <family val="2"/>
      </rPr>
      <t xml:space="preserve">
A 30 de septiembre de 2018, se registraron 7.755 artículos, valor que salcanza la meta establecida al corte del tercer trimestre. El comportamiento puede asociarse a la tendencia de publicación en el primer semestre y tercer trimestre por parte por colombianos en revistas científicas de alto impactos incluidas en SCOPUS y Publindex. 
El balance por áreas de conocimiento de los artículos registrados, es la siguiente: el 14,19% corresponde al área de Medicina, 9,356% de Ingeniería, 7,671% Agricultura y Ciencias Biológicas, 7,07% Ciencias de la Computación, 7% Ciencias Sociales, 5,83% Física y Astronomía, entre otras áreas. Vale resaltar que en la clasificación, Scopus utiliza 27 áreas temáticas, en las cuales las revistas al estar multicategorizadas genera que un mismo artículo puede estar contabilizado en más de un área temática.
Por otra parte, durante el tercer trimestre y luego de haber revisado el modelo de reconocimiento de grupos de investigación e investigadores, con la elaboración de un documento de análisis de la convocatoria 781 de 2017, en la cual se presentó información en una ventana de observación comprendida entre el 1 de enero de 2012 y el 31 de diciembre de 2016 y a partir de los datos registrados por las investigadores de los cuales 1.976.092 cumplieron con los criterios de existencia y calidad, se revisó y analizó la información para simular distintos escenarios en donde se dieron ajustes al Modelo de Grupos de Investigación e Investigadores en 2018, se elaboró la versión final de análisis de ajustes en el Modelo de Grupos de Investigación e Investigadores en 2018, con las siguientes variables: 1.Resultados de la convocatoria 781 de 2017, 2.Análisis de comportamiento entre las convocatorias, 3.Simulaciones de escenarios  para los ajustes al Modelo de reconocimiento y medición de grupos e investigadores. 4. Test de medias para comportamiento de la clasificación de grupos de investigación por Grandes Áreas del Conocimiento y Áreas. 5. Conclusiones del análisis, 6. Recomendaciones, 7. Cuatro (4) Anexos con información de soporte.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Durante el período comprendido entre 1 de julio y septiembre 30 de 2018 se adelantó el análisis del modelo de reconocimiento y medición de grupos.
</t>
    </r>
    <r>
      <rPr>
        <b/>
        <sz val="12"/>
        <color theme="1"/>
        <rFont val="Segoe UI"/>
        <family val="2"/>
      </rPr>
      <t>Conclusiones / Recomendaciones:</t>
    </r>
    <r>
      <rPr>
        <sz val="12"/>
        <color theme="1"/>
        <rFont val="Segoe UI"/>
        <family val="2"/>
      </rPr>
      <t xml:space="preserve">
En  el período, se registraron 7.755  artículos, valor que alcanza  el 100% la meta establecida. El comportamiento puede asociarse a la tendencia de publicación en el tercer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t>
    </r>
  </si>
  <si>
    <r>
      <rPr>
        <b/>
        <sz val="12"/>
        <color theme="1"/>
        <rFont val="Segoe UI"/>
        <family val="2"/>
      </rPr>
      <t>Análisis cualitativo:</t>
    </r>
    <r>
      <rPr>
        <sz val="12"/>
        <color theme="1"/>
        <rFont val="Segoe UI"/>
        <family val="2"/>
      </rPr>
      <t xml:space="preserve">
''El registro de apoyo a proyectos de investigación por cuenta de la Dirección de Fomento a la Investigación da cuenta de un total de 154 . A continuación se detallas los resultados y avances por convocatoria: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publica el banco de elegibles en donde se evidencia la financiación de 18 proyectos de investigación apoyados y dado que no se alcanza a dar cumplimiento a la meta de la iniciativa.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La convocatoria se encuentra en proceso de evaluación y dado el momento en el que se realizó la apertura el cronograma de la misma entregará resultados en el último trimestre del año.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Tras la definición del banco de financiables el 01 de agosto en la cual se detallan los 21 proyectos apoyados desde esta iniciativa. Es importante destacar que para hacer la plena ejecución de los recursos se da la apertura de una segunda convocatoria.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t>
    </r>
    <r>
      <rPr>
        <b/>
        <sz val="12"/>
        <color theme="1"/>
        <rFont val="Segoe UI"/>
        <family val="2"/>
      </rPr>
      <t xml:space="preserve">
Conclusiones / Recomendaciones:</t>
    </r>
    <r>
      <rPr>
        <sz val="12"/>
        <color theme="1"/>
        <rFont val="Segoe UI"/>
        <family val="2"/>
      </rPr>
      <t xml:space="preserve">
Con esto se logra el 45% de la meta para el vigencia y un 61% de la meta de la cuatrienio. Vale resaltar que el grueso de los resultados de las convocatorias, se emitirá en cuarto trimestre.Aunque el comportamiento del indicador ha sido favorable en el cuatrienio, se recomienda revisar los mecanismos a través de los cuales se apoyan a los proyectos de investigación.</t>
    </r>
  </si>
  <si>
    <r>
      <rPr>
        <b/>
        <sz val="12"/>
        <color theme="1"/>
        <rFont val="Segoe UI"/>
        <family val="2"/>
      </rPr>
      <t>Análisis cualitativo</t>
    </r>
    <r>
      <rPr>
        <sz val="12"/>
        <color theme="1"/>
        <rFont val="Segoe UI"/>
        <family val="2"/>
      </rPr>
      <t xml:space="preserve">
A septiembre 30 de 2018, se reportaron 363 empresas en procesos de innovación como producto de la gestión del los siguientes programas:
-Desde el programa de Alianzas para la Innovación se apoyan 169 empresas en procesos de innovación bajo dos iniciativas: 10 empresas apoyadas desde la iniciativa de Invitación para apoyar empresas beneficiadas de Alianzas para la innovación para el desarrollo de proyectos o prototipos y 159 desde la iniciativa de Formación de empresas en procesos de innovación a través de sesiones de mentalidad innovadora en alianza con la Cámara de Comercio de Bogotá.  
- Desde el programa de Sistemas de Innovación Empresarial se han apoyado 117 empresas  en procesos de innovación bajo la Iniciativa de Implementación de la estrategia de Sistemas de Innovación Empresarial para tercer trimestre (donde 80 empresas se lograron en 2 trimestre), la cual hace Seguimiento a cumplimiento y planes operativos de convenios con las Cámaras de Comercio como Operadores regionales en el componente de la estrategia de Sistemas de Innovación.  La distribución de las empresas apoyadas  se da de la siguiente manera: Santander 39 empresas, valle del cauca 1 empresa, Norte de Santander 20 empresas,  Atlántico 30 empresas, Risaralda 8 empresas,  Caldas 14 empresas, Quindío 5 empresas. 
-Desde el programa de Beneficios Tributarios se tuvo para primer semestre un apoyo de 39 empresas en procesos de innovación, esto a causa de que en los primeros cortes de la convocatoria 786 se presentaron un bajo número de solicitudes y los proyectos plurianuales se encontraban en evaluación. No obstante, la gestión en tercer trimestre ha permitido apoyar un total de 53 empresas apoyadas en procesos de innovación, en lo que lleva del año.Se espera apoyar las 150 empresas con el tercer corte de la convocatoria y los proyectos plurianuales aprobados al finalizar 2 semestre de 2018.
- Desde el Programa TIC se aportaron 24 empresas apoyadas en procesos de Innovación programadas, cuyo proceso se dió bajo las siguientes iniciativas de: 2 empresas apoyadas en primer semestre de la iniciativa Seguimiento y Ejecución convocatoria 789 de 2017. Asimismo, 8 empresas apoyadas en procesos de innovación bajo la iniciativa de En el marco del desarrollo del proyecto "Incuba TI" para el tercer trimestre, sin embargo, dado el desarrollo de la segunda fase de la convocatoria de "INCUBA TI" se espera la creación de 2 empresas más para el cuarto trimestre debido a la prorroga realizada al contrato 257 de 2017 celebrado con la Corporación Incubadora de empresas de Basé Tecnológica de Antioquia - CREAME. Se le suman 10 empresas apoyadas en procesos de innovación de la iniciativa Convocatoria para Seleccionar empresas TI para acompañar en la fase de Expansión. Por ultimo, 4 empresas apoyadas en proceso de innovación bajo la iniciativa de Selección de emprendedores de Apps.co que desarrollen soluciones tecnológicas en la fase de Oferta y Demanda.
</t>
    </r>
    <r>
      <rPr>
        <b/>
        <sz val="12"/>
        <color theme="1"/>
        <rFont val="Segoe UI"/>
        <family val="2"/>
      </rPr>
      <t>Conclusiones/Recomendaciones</t>
    </r>
    <r>
      <rPr>
        <sz val="12"/>
        <color theme="1"/>
        <rFont val="Segoe UI"/>
        <family val="2"/>
      </rPr>
      <t xml:space="preserve">
Teniendo en cuenta que el reporte de empresas se concentra en  cuarto trimestre de 2018, se recomienda a la Dirección de Desarrollo Tecnológico e Innovación, monitorear los resultados de los programas estratégicos que aportan a la meta del  indicador. Así mismo, se recomienda , en el momento del reporte, realizar una depuración períodica de las empresas apoyadas por Programa Estratégico; con el propósito de evitar duplicidades en la información reportada. </t>
    </r>
  </si>
  <si>
    <r>
      <t>A tercer trimestre de 2018 se lograron constituir tres spin off, (empresas  de base tenológica de origenuniversitario) y tres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Contratos de licenciamiento: 
a) 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c) ) Contrato de licenciamiento tecnológico entre un investigador independiente y la empresa Abono Orgánico en la ciudad de Bucaramanga, y con el acompañamiento de la OTRI EO.
Sumado a lo anterior, parte del apoyo a Oficinas de Transferencia Regionales y Universitarias, ha consistido en la consolidación de la Red de Oficinas de Transferencia, denominada “JOINN - Red Nacional OTRI” con el fin de potencializar sus resultados y dar un mayor alcance nacional y cuya secretaría técnica por consenso corresponde al CRCT de Tecnnova. En tercer trimestre de la vigencia, se realizaron varias reuniones de la Red JOINN con el fin de definir procedimientos y convocatorias para la red nacional, así mismo se lanzó la primera campaña en redes sociales para Transferencia de Conocimiento y Tecnología y para el apoyo que realizan las Oficinas de Transferencia de Resultados de Investigación en el SNCTeI. Así mismo, se realizó la firma del documento “Acuerdo de Cooperación entre Representantes del Sistema de Transferencia Tecnológica de Países Integrantes de la Alianza del Pacífico para la creación de la “Red de Transferencia Tecnológica de la Alianza del Pacífico”; en el marco de la Alianza del Pacífico para las actividades de cooperación en Transferencia de Conocimiento y Tecnología y en el cual están firmando los representantes de la Red de Gestores Tecnológicos de Chile, la Red de Investigación, Desarrollo e innovación de Perú y la Red de Oficinas de Transferencia Tecnológica de México AC, el pasado mes de agosto.
Spin Off
A 30 de septiembre de 2018, se han reportado 3 spin off  cuya distribución geográfica, da cuenta de 2 constituidas en el departamento de Antioquia y 1 ubicada en Bogotá Disitrito Capital.
Así mismo, en el marco de la convocatoria Spin Off  - TIC se presentaron 42 propuestas, cumplieron requisitos 25 y quedaron seleccionadas elegibles 10.  En este período TECNNOVA inició la legalización de los contratos con las 10 entidades seleccionadas para iniciar el proceso de acompañamiento y creación se las Spin Off. Una vez formalizado el proceso contractual, TECNNOVA ha venido realizando talleres sobre el proyecto de Ley Spin-off a las 12 Spin Off y sesiones cada una sobre Hoja de Ruta para la creación de Spinoff y temáticas relacionadas con emprendimientos digitales e industria TIC.</t>
    </r>
    <r>
      <rPr>
        <b/>
        <sz val="12"/>
        <color theme="1"/>
        <rFont val="Segoe UI"/>
        <family val="2"/>
      </rPr>
      <t xml:space="preserve">
Evaluación/Recomendación
</t>
    </r>
    <r>
      <rPr>
        <sz val="12"/>
        <color theme="1"/>
        <rFont val="Segoe UI"/>
        <family val="2"/>
      </rPr>
      <t>A septiembre de 2018, se ha logrado cumplir el 35% de la meta de la vigencia y el 68% de la meta del cuatrienio.El comportamiento del indicador  de Licenciamientos Tecnológicos ha sido favorable; no obstante es importante señalar que un aporte adicional por parte del Programa TIC fue identificado a en el primer semestre de 2018. Con esto, y dado que se modificó la meta del PEI 2015-2018, es necesario que desde la DDTI se revise previo al cierre del año el cumplimiento de los compromisos de los aliados estratégicos suscritos con el Programa TIC.</t>
    </r>
  </si>
  <si>
    <r>
      <rPr>
        <b/>
        <sz val="12"/>
        <color theme="1"/>
        <rFont val="Segoe UI"/>
        <family val="2"/>
      </rPr>
      <t>Análisis cualitativo</t>
    </r>
    <r>
      <rPr>
        <sz val="12"/>
        <color theme="1"/>
        <rFont val="Segoe UI"/>
        <family val="2"/>
      </rPr>
      <t xml:space="preserve">:
En el período de enero a septiembre se reportaron desde la Superintendencia de Industria y Comercio (SIC) un total de 224 registros de patentes solicitadas por residentes en oficina nacional y PCT (69 en primer trimestre, 73 en segundo trimestre y 82 de julio-agosto de 2018). la distribución porcentual por departamento es la siguiente:  Bogotá 37%; Antioquia 17%;Valle del Cauca 9%; Santander 6,2%, Risaralda y Atlántico 5,3% cada uno , Cundinamarca 3,57%,Caldas 2,68%,  Bolívar 2,23% , Quindío, Tolima, Huila y Boyacá cada uno con un 1,79%; Nariño y Norte de Santander con 1,34%, la Guajira con 0,89%, Sucre y Chocó con un 0,45% cada uno.
Por lo anterior, se cumple en un 100% la meta establecida para el período. Vale señalar que el dato registrado es preliminar con corte a agosto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 la construcción, aprobación y respectiva publicación de los términos de referencia de la convocatoria. Finalmente la apertura se dio el pasado el 30 de mayo. Los recursos disponibles son del orden de $891 millones de pesos. A 30 de septiembre se encuentra en proceso de aclaraciones, por lo tanto los resultados se presentaran en cuarto trimestre de la vigencia.
Con relación a la Brigada de Patentes y Fondos Regionales de Fomento a la Protección de Invenciones, los aliados regionales de Bucaramanga, Barranquilla y Cali continúan adelantando acciones para lograr cerrar la ejecución de las estrategias en la región a través de la radicación de las últimas solicitudes ante la SIC. 
En lo que respecta al estudio de resultados e impacto de las solicitudes de patentes apoyadas por Colciencias,  finalizando junio se culminó la estructuración de la documentación de invitación. La invitación fue remitida el pasado 17 de julio y estuvo abierta hasta el 17 de agosto. Se recibieron cuatro propuestas que se encuentran en fase de evaluación: a) Universidad Nacional de Colombia, b) Colegio Mayor de Nuestra Señora del Rosario - Universidad del Rosario, c) Innventa y d) Observatorio Colombiano de Ciencia y Tecnología: OCyT.
</t>
    </r>
    <r>
      <rPr>
        <b/>
        <sz val="12"/>
        <color theme="1"/>
        <rFont val="Segoe UI"/>
        <family val="2"/>
      </rPr>
      <t xml:space="preserve"> 
Conclusiones / Recomendaciones:</t>
    </r>
    <r>
      <rPr>
        <sz val="12"/>
        <color theme="1"/>
        <rFont val="Segoe UI"/>
        <family val="2"/>
      </rPr>
      <t xml:space="preserve">
Por la configuración de este indicador (flujo)  se cumple en un 37% la meta establecida para el período y en99% frente a la meta del cuatrienio.
Este indicador ha sido determinante para evidenciar los avances en temas de propiedad intelectual en el país. En lo que lleva del cuatrienio se ha multiplicadopor 4, las solicitudes de registros de patentes han pasado 123 en 2010 a 2017 en 595. El comportamiento del indicador es variable en la vigencia y por lo general el mayor número de solicitudes se concentran al final de año. Para cierre de 2018, es importante determinar los resultados de las estrategias asociados al programa de Brigada de Patentes y Fondo de Protección de Patentes, de cara a los lineamientos del Gobierno establecidos en el nuevo Plan Nacional de Desarrollo 2018-2022.</t>
    </r>
  </si>
  <si>
    <r>
      <rPr>
        <b/>
        <sz val="12"/>
        <color theme="1"/>
        <rFont val="Segoe UI"/>
        <family val="2"/>
      </rPr>
      <t>Análisis cualitativo:</t>
    </r>
    <r>
      <rPr>
        <sz val="12"/>
        <color theme="1"/>
        <rFont val="Segoe UI"/>
        <family val="2"/>
      </rPr>
      <t xml:space="preserve"> 
En el marco de la medición de Personas sensibilizadas a través de estrategias enfocadas en el uso, apropiación y utilidad de la CTeI, para el tercer trimestre de 2018 se reporta un total de 2.346.579 distribuidas así:
 - 1.263.660 personas sensibilizadas del componente de Difusión, aportadas a través de las diferentes estrategias digitales como los estrenos de los documentales Cita con la trocha y Ser o no ser en el Canal de Televisión Nacional y Señal Colombia así como de capítulos de Colombia Bio, personas impactadas en eventos presenciales, reproducciones en Youtube y visualizaciones en redes sociales
- ATRÉVETE con un aporte  83.302 personas sensibilizadas con la iniciativa de Ideas para el Cambio, proyecto Especial de la comunidad Indígena del Cauca y A Ciencia Cierta en su cuarta versión continuando con los encuentros, evento y tejido de redes virtuales que se implementaron desde el primer trimestre.
- Comunicamos lo que hacemos (Personas Sensibilizadas Ecosistema Digital) para el período Enero a septiembre de 2018 se lograron sensibilizar 999.017 a través de publicaciones en redes sociales y páginas web de aliados.
- Programa TIC se cumple la meta establecida de 600 personas sensibilizadas mediante las iniciativas de Ejecución y Seguimiento CEA y la convocatoria 797 Formación Ciudadanos Ciencia de Datos.
</t>
    </r>
    <r>
      <rPr>
        <b/>
        <sz val="12"/>
        <color theme="1"/>
        <rFont val="Segoe UI"/>
        <family val="2"/>
      </rPr>
      <t xml:space="preserve"> 
Conclusiones/Recomendaciones:</t>
    </r>
    <r>
      <rPr>
        <sz val="12"/>
        <color theme="1"/>
        <rFont val="Segoe UI"/>
        <family val="2"/>
      </rPr>
      <t xml:space="preserve">
Teniendo en cuenta el alcance del indicador de personas sensibilizadas, es necesario revisar metodológicamente para los próximas vigencias (si se decide continuar con esta métrica) depurar las estrategias que contarán, dada la línea base alcanzada durante el cuatrienio 2015-2018.</t>
    </r>
  </si>
  <si>
    <r>
      <rPr>
        <b/>
        <sz val="12"/>
        <color theme="1"/>
        <rFont val="Segoe UI"/>
        <family val="2"/>
      </rPr>
      <t>Análisis cualitativo</t>
    </r>
    <r>
      <rPr>
        <sz val="12"/>
        <color theme="1"/>
        <rFont val="Segoe UI"/>
        <family val="2"/>
      </rPr>
      <t xml:space="preserve">
Para tercer trimestre del 2018, se registraron un total de 69.733 niños y jóvenes apoyados en procesos de vocación científica. La cifra reportada hace parte de la gestión realizada que a continuación se detalla:
- Programa Ondas reporta un acumulado de 69,473 niños, niñas y adolescentes. 3.000 de la gestión del primer trimestre, 17.000 del segundo trimestre y 49,473 del tercer trimestre (35.000 de gestión territorial "cumple la meta ya que se firman convenios con los departamentos de Antioquia, Atlántico, Bolívar, Boyacá, Cáuca, Chocó, Cúndinamarca, Guanía, Guaviare, Urabá y Valle· y sólo se llega a 14,473 de Proyectos Especiales).
Las acciones establecidas desde el componente de Proyectos Especiales a través de las estrategias de activaciones de niños, niñas y adolescentes “Los cracks de la ciencia” e Implementación de Clubes de Ciencia no han generado los resultados esperados; no obstante, se están planteando estrategias que permitan a cierre del cuarto trimestre alcanzar la meta establecida para el año.
Referente al Programa Jóvenes Investigadores e Innovadores para el tercer trimestre de 2018 se han logrado un total de 260. Este resultado proviene de Proyectos Especiales con los jóvenes que participaron en el Encuentro Nacional de Jóvenes Investigadores e Innovadores realizado en el mes de mayo del 2018 y la convocatoria en Medicina con Pfizer en la que se destaca 6 beneficiarios.
Para el cuarto trimestre se tiene programada el cumplimiento del indicador con las demás iniciativas como son:  Alianzas SENA, Sistemas de Mapeo Iniciativas País, y la Convocatoria JII.
</t>
    </r>
    <r>
      <rPr>
        <b/>
        <sz val="12"/>
        <color theme="1"/>
        <rFont val="Segoe UI"/>
        <family val="2"/>
      </rPr>
      <t xml:space="preserve">
Conclusiones/Recomendaciones</t>
    </r>
    <r>
      <rPr>
        <sz val="12"/>
        <color theme="1"/>
        <rFont val="Segoe UI"/>
        <family val="2"/>
      </rPr>
      <t xml:space="preserve">
Se logra cumplir el 35% de la meta de la vigencia y 75% de la meta del cuatrienio.
Dado el comportamiento del indicador en lo que lleva del cuatrienio, es necesario que en 2018 se implementen estrategias que permitan que el  rezago del indicador de cerca de 250 mil niños y jóvenes ( año 2016) se reduzcan de manera significativa.</t>
    </r>
  </si>
  <si>
    <r>
      <rPr>
        <b/>
        <sz val="12"/>
        <color theme="1"/>
        <rFont val="Segoe UI"/>
        <family val="2"/>
      </rPr>
      <t xml:space="preserve">Análisis cualitativo:
</t>
    </r>
    <r>
      <rPr>
        <sz val="12"/>
        <color theme="1"/>
        <rFont val="Segoe UI"/>
        <family val="2"/>
      </rPr>
      <t>A septiembre de 2018, se ha asignado el 24,84% del cupo de inversión para el otorgamiento de beneficios tributarios a empresas que presentaran proyectos de Ciencia, Tecnología e Innovación. Este porcentaje es equivalente a $ 158.984 millones cumpliendo con la proyecciones definidos en el a través del cual  se estableció una asignación de cupo del 20% con base en el comportamiento histórico. Para llegar al 100% del cupo, debe culminar el proceso de cierre de la vigencia 2018 que incluye el proceso de evaluación de los proyectos plurianuales, con los que se espera asignar la totalidad del cupo.</t>
    </r>
    <r>
      <rPr>
        <b/>
        <sz val="12"/>
        <color theme="1"/>
        <rFont val="Segoe UI"/>
        <family val="2"/>
      </rPr>
      <t xml:space="preserve">
Conclusiones/Recomendaciones</t>
    </r>
    <r>
      <rPr>
        <sz val="12"/>
        <color theme="1"/>
        <rFont val="Segoe UI"/>
        <family val="2"/>
      </rPr>
      <t xml:space="preserve">
 Este indicador concentrar el logro de sus resultados tanto en %cupo asignado como en empresas, en el cuarto trimestre de la vigencia, dadas las programaciones de las sesiones del CNBT. Teniendo en cuenta los buenos resultados de los años anteriores, existe una alta probabilidad de cumplimiento de la meta.  Basados en que este indicador ha aportado considerablemente la movilización de recursos de inversión en ACTI desde el sector privado del país, se recomienda darle continuidad o implementar alguna metrica asociada, de cara a los compromisos del PND 2018-2022, en el cual se pretente alcanza 1,5% del PIB de inversión en ACTI para 2022.</t>
    </r>
  </si>
  <si>
    <r>
      <rPr>
        <b/>
        <sz val="12"/>
        <color theme="1"/>
        <rFont val="Segoe UI"/>
        <family val="2"/>
      </rPr>
      <t>Análisis cualitativo</t>
    </r>
    <r>
      <rPr>
        <sz val="12"/>
        <color theme="1"/>
        <rFont val="Segoe UI"/>
        <family val="2"/>
      </rPr>
      <t xml:space="preserve">
Se registran 2 política de CTeI aprobadas en el primer semestre de 2018:  Política de ética, Bioética y Libro Verde. Esta última adoptada como la Política Nacional de Ciencia e Innovación para el desarrollo sostenible.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En lo que respecta, a la formulación de la Política Nacional de Ciencia Abierta, a 30 de septiembre aunque se avanzó en frentes estratégicos (realización de talleres para definir lineamientos de política, elaboración de estudio de marco normativo que identifica los obstáculos y bondades de la jurisprudencia colombiana para la ciencia abierta y formulación documento de política que plantea definiciones, principios y objetivos), no fue posible llevar a cabo el proceso de aporbación, dada las condiciones de cambios de Gobierno, fue necesario realizar la presentación del documento en la última versión ajustada y revisada a la nueva subdirección.
Así mismo, acorde a los nuevos planteamientos e intereses se realizó una reunión técnica en la cual se recibió retroalimentación al documento de política y  se presentó un cronograma proyectando actividades para socializar y tener otros insumos para su validación y cierre.  En ese sentido se espera contar con un documento de política aprobado al finalizar el cuarto trimestre de 2018.
</t>
    </r>
    <r>
      <rPr>
        <b/>
        <sz val="12"/>
        <color theme="1"/>
        <rFont val="Segoe UI"/>
        <family val="2"/>
      </rPr>
      <t xml:space="preserve">Conclusión/Recomendaciones
</t>
    </r>
    <r>
      <rPr>
        <sz val="12"/>
        <color theme="1"/>
        <rFont val="Segoe UI"/>
        <family val="2"/>
      </rPr>
      <t>El indicador presenta un cumplimiento del 67% frente a la meta de la vigencia y de un 88% respecto a la meta cuatrienio.
Existe el riesgo de incumplimiento en meta, esto debido al alcance de la política que lo respalda: Política de Ciencia Abierta. La política ha sido programada en la planeación institucional desde 2017 y no ha logrado los resultados esperados. En reuniones realizadas con la Unidad de Política se ha expresado que este documento impacta de manera directa a todos los actores del SNCTeI y por lo tanto el proceso de construcción se acomplejiza.  La OAP recomienda que estos argumentos puedan ser llevados alguna instancia de decisión, en el cual se concerte las acciones a realizar para el cumplimiento con este compromiso ya sea en 2018 o paral a vigencia entrante.</t>
    </r>
  </si>
  <si>
    <r>
      <rPr>
        <b/>
        <sz val="12"/>
        <color theme="1"/>
        <rFont val="Segoe UI"/>
        <family val="2"/>
      </rPr>
      <t>Análisis cualitativo</t>
    </r>
    <r>
      <rPr>
        <sz val="12"/>
        <color theme="1"/>
        <rFont val="Segoe UI"/>
        <family val="2"/>
      </rPr>
      <t xml:space="preserve">
El registro de resultados en los planes y acuerdos suscritos y acompañados, Así mismo, en este período se logró acompañar 9  planes y acuerdos departamentales de CTeI  (PAED) en el marco de la realización del os CODECTI en las regiones correspondientes:  Chocó, Caqueta, Cauca, Huila, Atlántico, Magdalena, Atlántico, Boyacá.
</t>
    </r>
    <r>
      <rPr>
        <b/>
        <sz val="12"/>
        <color theme="1"/>
        <rFont val="Segoe UI"/>
        <family val="2"/>
      </rPr>
      <t>Conclusiones/Recomendaciones</t>
    </r>
    <r>
      <rPr>
        <sz val="12"/>
        <color theme="1"/>
        <rFont val="Segoe UI"/>
        <family val="2"/>
      </rPr>
      <t xml:space="preserve">
Teniendo en cuenta la normatividad que rige al FCTeI del SGR, el rol de Colciencias se determina en términos de acompañamiento. La actualización dependende directamente de los CODECTI. Se ha acompañado durante 2018, el 27% de los PAEDS de los departamentos del país. Se hace necesario que desde Gestión Territorial se tomen las medidas que permitan dar cierre a la vigencia con la totalidad de los PAEDs acompañados.</t>
    </r>
  </si>
  <si>
    <r>
      <rPr>
        <b/>
        <sz val="12"/>
        <color theme="1"/>
        <rFont val="Segoe UI"/>
        <family val="2"/>
      </rPr>
      <t xml:space="preserve">Análisis cualitativo
</t>
    </r>
    <r>
      <rPr>
        <sz val="12"/>
        <color theme="1"/>
        <rFont val="Segoe UI"/>
        <family val="2"/>
      </rPr>
      <t xml:space="preserve">Con corte a 30 de septiembre, se han logrado consolidar 06 alianzas estratégicas: OCDE, CYTED, ICGB, CELAC -UE,  INNOV-AL y Programa de Naciones Unidas.La gestión relacionada se describe a continuación:
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el tercer trimestre en representación de Colciencias la Subdirectora general, Dra. Sonia Monroy, asistió a la reunión de la Comisión. En este espacio, se logró hacer el respectivo seguimiento a los compromisos planteados en las reuniones de Ministros y Altas Autoridades en CTeI en los años 2014 y 2016.
En el segundo trimestre del año al respecto del programa CYTED y lo sucedido en la Cumbre Iberoamericana realizada en Varadero-Cuba en el año 2014, que planteo la necesidad de realizar modificaciones en los documentos base del Programa CYTED a la luz del Estatuto de las PIPAS de la Secretaria General Iberoamericana y por el cual se creó la Comisión Revisora conformada por 7 países. Colombia por ser el organizador de la Cumbre en año 2016, se estatuyó como líder de esta comisión y se definió como sede anfitriona para recibir a los países miembros de la última. El 12 y 13 de abril se reunieron los representantes de los países de Argentina, Cuba, Panamá, El Salvador, España y Uruguay, como miembros de la comisión y Brasil como país observador del proceso, para redactar los documentos soporte de los instrumentos del programa CYTED: el Estatuto Programa CYTED y el y el Reglamento Orgánico del Programa CYTED, basados en el Manual Operativo de la SEGIB.  Para el tercer trimestre se logró consolidar la alianza INNOV-AL en el marco del proceso de intercambio de experiencias para el fortalecimiento de la innovación bajo el acuerdo de la CELAC y la UE COLCIENCIAS se ha venido apoyando la "PLATAFORMA INNOV-AL EU-LAC" la cual tiene por objetivo "apoyar la difusión y aprendizaje de la experiencia y buenas prácticas de la política regional europea y lograr una mayor cooperación entre las autoridades nacionales y regionales de 4 países de América Latina (Argentina, Chile, Colombia y Perú)". Para el segundo trimestre,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De igual forma en esta iniciativa en el segundo trimestre, Colciencias,  participó en la primera reunión del grupo de trabajo de Infraestructuras de Investigación entre la Comunidad de Estados Latinoamericanos y Caribeños - CELAC y la Unión Europea, en Bruselas, con el propósito de conocer las experiencias exitosas que se han llevado a cabo en varios países. Se documento información sobre las infraestructuras de investigación más fuertes del país, para poner en consideración de la Unión Europea para posibles visitas.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Durante el segundo trimestre se realizó, en conjunto con la Secretaría Ejecutiva para el Desarrollo Integral - SEDI, el seguimiento a los cuatro Grupos de Trabajo (Innovación, Educación y Recursos Humanos, Infraestructura Nacional de la Calidad, Desarrollo Tecnológico), durante la reunión de planeación de la Comisión Interamericana de Ciencia y Tecnología - COMCYT, en la que se realizó el Plan de Trabajo para los próximos 3 años, en los que Colciencias ejercerá como Presidencia de dicha Comisión. A partir del Plan de Trabajo se determinan las actividades para los grupos de la COMCyT y se les hará el seguimiento anual respectivo. Al respecto de la consolidación de alianza esta se dará hasta el cuarto trimestre dado que a pesar de tener el documento del plan de trabajo del COMCYT la reunión de aprobación con los 4 coordinadores de los grupos de trabajo se tuvo que mover en calendario ya que anualmente la OAE tiene su asamblea general en el mes de junio y posteriormente pasan al periodo de vacaciones de verano durante un mes, por otra parte el cambio de gobierno en Colombia obligó a reprogramar el encuentro para el mes de noviembre lo que generó un rezago en el logro de la meta en el trimestre, en compensación a esta alianza durante el trimestre se logró formalizar otra alianza con el Programa Iberoamericano de Ciencia y Tecnología para el Desarrollo - CYTED, a través del cual se busca fomentar la cooperación multilateral en investigación e innovación para el desarrollo de la región Iberoamericana; promoviendo mecanismos de cooperación entre el sector académico e investigativo (universidades, centros de investigación y desarrollo) y el sector productivo y empresarial. 
</t>
    </r>
    <r>
      <rPr>
        <b/>
        <sz val="12"/>
        <color theme="1"/>
        <rFont val="Segoe UI"/>
        <family val="2"/>
      </rPr>
      <t xml:space="preserve">
Conclusiones/Recomendaciones</t>
    </r>
    <r>
      <rPr>
        <sz val="12"/>
        <color theme="1"/>
        <rFont val="Segoe UI"/>
        <family val="2"/>
      </rPr>
      <t xml:space="preserve">
En el período se logró establecida, con respecto a la meta de la vigencia se avanzó en un 66%. Las demás alinazas se concentrarán en cuarto trimestre de 2018.</t>
    </r>
  </si>
  <si>
    <r>
      <rPr>
        <b/>
        <sz val="12"/>
        <color theme="1"/>
        <rFont val="Segoe UI"/>
        <family val="2"/>
      </rPr>
      <t>Análisos cualitativo:</t>
    </r>
    <r>
      <rPr>
        <sz val="12"/>
        <color theme="1"/>
        <rFont val="Segoe UI"/>
        <family val="2"/>
      </rPr>
      <t xml:space="preserve">
El seguimiento al índice ATM (ágil, transparente y moderno) evidencia que para el tercer de 2018, se obtiene un avance del 82% frente a una meta esperada del 88%. Los resultados  discriminados por componente son los siguientes: 
- En el Componente de Transparencia, el cual evalúa el cumplimiento de los requisitos determinados en el Documento Metodológico Índice de Transparencia Nacional para Entidades Públicas, con un total de 388 requisitos a cumplir, se evidencia un avance del 100% .
En el Componente de Modernidad, el cual se evalúa el cumplimiento de los requisitos de la estrategia de Gobierno en Línea, se evidencia un avance del 98%  resultado que evidencia que se han logrado implementar y mantener los  86 aplicables, obteniendo un resultado satisfactorio, en relación a la meta planificada.
En el Componente Ágil  el comportamiento por subcomponente es el siguiente:
Con respecto al avance del plan de optimización  Con corte a 30 de septiembre de 2018, se evidencia un 43% de cumplimiento frente a un 75% esperado para el período. Los resultados se dan en  términos de los retrasos presentados en la concertación y aprobación de los productos siguientes productos a cargo del proceso de Gestión de Contratación. Actualmente se encuentra en implementación la acción de mejora AC-0005 con el fin de cumplir con los productos pactados en la Optimización de Gestión Contractual a diciembre de 2018, por tanto, no se considera necesario implementar otro plan de mejora.
Frente al plan de racionalización de trámites, aunque no se programó registro del indicador para el tercer trimestre, se evidencia avance en la gestión del 55%  frente a un 50% programado para el primer semestre.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t>
    </r>
    <r>
      <rPr>
        <b/>
        <sz val="12"/>
        <color theme="1"/>
        <rFont val="Segoe UI"/>
        <family val="2"/>
      </rPr>
      <t>Conclusiones / Recomendaciones:</t>
    </r>
    <r>
      <rPr>
        <sz val="12"/>
        <color theme="1"/>
        <rFont val="Segoe UI"/>
        <family val="2"/>
      </rPr>
      <t xml:space="preserve">
Aunque se presenta un cumplimiento del 84% del índice ATM para el  primer trimestre de 2018, se recomienda realizar monitoreo a las acciones de mejora propuestas para subsanar los o resultados en el componente "Agil", dado que durante el transcurso de la vigencia a presentado incumplimientos parciales reiterados. El proceso relacionado con el rezago refiere principalmente a gestión contractual. Se realiza un llamado a la SEGEL (responsable de proceso) de manera que permita agilizar la optimizacion de proceso y procedimientos en materia contractual en la Entidad.</t>
    </r>
  </si>
  <si>
    <r>
      <rPr>
        <b/>
        <sz val="12"/>
        <color theme="1"/>
        <rFont val="Segoe UI"/>
        <family val="2"/>
      </rPr>
      <t>Análisis Cualitativo</t>
    </r>
    <r>
      <rPr>
        <sz val="12"/>
        <color theme="1"/>
        <rFont val="Segoe UI"/>
        <family val="2"/>
      </rPr>
      <t xml:space="preserve">
'En el periodo comprendido entre el 1 de enero y 30 de septiembre de 2018, se indexaron al Sistema de Información sobre Biodiversidad (SiB Colombia), un total de 137.305 nuevos registros de especies en el GBIF de los cuales 51.540 corresponden a resultados de las expediciones Bio y 87.765 hacen parte de los resultados de la iniciativa de fortalecimiento de Colecciones. Los registros producto de las expediciones, se asocian a la contribución en la incorporación de los datos por parte de entidades tales como Instituto de Investigación de Recursos Biológicos Alexander von Humboldt, la Fundación Chimbilako, la Corporación Autónoma Regional de las cuencas de los ríos Negro y Nare - CORNARE, la Fundación Ecotrópico Colombia, la Corporación para el desarrollo sostenible del área de manejo especial La Macarena ¿ CORMACARENA, Corporación Autónoma Regional de los Valles del Sinú y del San Jorge-CVS, el Instituto Amazónico de Investigaciones Científicas Sinchi, Universidad de Ciencias Aplicadas y Ambientales (U.D.C.A), la Asociación para el estudio y conservación de las aves acuáticas en Colombia, Instituto de Investigaciones Ambientales del Pacifico John Von Neumann (IIAP), Asociación Colombiana de Ictiólgos, la Fundación Pantera Colombia, Instituto de Investigaciones Marinas y Costeras- INVEMAR y la Universidad Nacional de Colombia.
Con relación al fortalecimiento de colecciones, los registros en el primer semestre fueron menores a los esperados, dada la dinámica de publicación de datos que está a cargo de diversas entidades a nivel nacional, las cuales manejan diferentes frecuencias de tiempo para la inclusión de datos en la plataforma.  Para el tercer trimestre aun cuando no se tenía planeado un reporte en el registro de nuevas especies se reduce la brecha de los registros con un aporte de 27.297 nuevos registros de especies.  
</t>
    </r>
    <r>
      <rPr>
        <b/>
        <sz val="12"/>
        <color theme="1"/>
        <rFont val="Segoe UI"/>
        <family val="2"/>
      </rPr>
      <t xml:space="preserve"> Conclusiones / Recomendaciones:
</t>
    </r>
    <r>
      <rPr>
        <sz val="12"/>
        <color theme="1"/>
        <rFont val="Segoe UI"/>
        <family val="2"/>
      </rPr>
      <t>Según el comportamiento del indicador se ha cumplido un 55% de la meta para la vigencia y un 99% frente a la meta cuatrienio. Este indicador visibiliza el potencial del país en el registro de especies y la biodiversidas en el mundo. Se recomienda dar continuidad de las iniciativas del programa estratégico Colombia Bio en la planeación estratégica del cuatrienio entrante.</t>
    </r>
  </si>
  <si>
    <t>Observaciones de Seguimiento
Tercer trimestre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</si>
</sst>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1" x14ac:knownFonts="1">
    <font>
      <sz val="11"/>
      <color theme="1"/>
      <name val="Calibri"/>
      <family val="2"/>
      <scheme val="minor"/>
    </font>
    <font>
      <sz val="11"/>
      <color theme="1"/>
      <name val="Calibri"/>
      <family val="2"/>
      <scheme val="minor"/>
    </font>
    <font>
      <b/>
      <sz val="12"/>
      <color theme="1"/>
      <name val="Arial Narrow"/>
      <family val="2"/>
    </font>
    <font>
      <b/>
      <sz val="12"/>
      <name val="Segoe UI"/>
      <family val="2"/>
    </font>
    <font>
      <b/>
      <sz val="11"/>
      <name val="Segoe UI"/>
      <family val="2"/>
    </font>
    <font>
      <sz val="12"/>
      <color theme="1"/>
      <name val="Segoe UI"/>
      <family val="2"/>
    </font>
    <font>
      <sz val="12"/>
      <name val="Segoe UI"/>
      <family val="2"/>
    </font>
    <font>
      <b/>
      <sz val="12"/>
      <color theme="1"/>
      <name val="Segoe UI"/>
      <family val="2"/>
    </font>
    <font>
      <b/>
      <sz val="14"/>
      <color theme="1"/>
      <name val="Segoe UI"/>
      <family val="2"/>
    </font>
    <font>
      <b/>
      <sz val="16"/>
      <color theme="0"/>
      <name val="Segoe UI"/>
      <family val="2"/>
    </font>
    <font>
      <b/>
      <sz val="12"/>
      <color theme="0"/>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3" fillId="2" borderId="0" xfId="0" applyFont="1" applyFill="1" applyBorder="1" applyAlignment="1">
      <alignment horizontal="center" vertical="center"/>
    </xf>
    <xf numFmtId="164" fontId="5" fillId="0" borderId="5" xfId="1" applyNumberFormat="1" applyFont="1" applyFill="1" applyBorder="1" applyAlignment="1">
      <alignment horizontal="center" vertical="center" wrapText="1"/>
    </xf>
    <xf numFmtId="9" fontId="5" fillId="0" borderId="5" xfId="2"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5" fillId="2" borderId="0" xfId="0" applyFont="1" applyFill="1"/>
    <xf numFmtId="9" fontId="5" fillId="2" borderId="5" xfId="2"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0" fontId="6" fillId="2" borderId="0" xfId="0" applyFont="1" applyFill="1" applyAlignment="1"/>
    <xf numFmtId="0" fontId="3" fillId="0" borderId="0" xfId="0" applyFont="1" applyFill="1" applyBorder="1" applyAlignment="1">
      <alignment horizontal="center"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10" fontId="5" fillId="2" borderId="5" xfId="2"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10" fontId="5" fillId="0" borderId="5" xfId="2" applyNumberFormat="1"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0" borderId="5" xfId="1" applyNumberFormat="1" applyFont="1" applyFill="1" applyBorder="1" applyAlignment="1">
      <alignment horizontal="justify" vertical="center" wrapText="1"/>
    </xf>
    <xf numFmtId="164" fontId="6" fillId="2" borderId="5" xfId="1" applyNumberFormat="1" applyFont="1" applyFill="1" applyBorder="1" applyAlignment="1">
      <alignment horizontal="center" vertical="center" wrapText="1"/>
    </xf>
    <xf numFmtId="0" fontId="5" fillId="0" borderId="0" xfId="0" applyFont="1" applyFill="1" applyAlignment="1">
      <alignment horizontal="center" vertical="center"/>
    </xf>
    <xf numFmtId="164" fontId="5" fillId="0" borderId="5" xfId="2" applyNumberFormat="1" applyFont="1" applyFill="1" applyBorder="1" applyAlignment="1">
      <alignment horizontal="center" vertical="center" wrapText="1"/>
    </xf>
    <xf numFmtId="9" fontId="5" fillId="0" borderId="5" xfId="2"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164" fontId="5" fillId="2" borderId="0" xfId="0" applyNumberFormat="1" applyFont="1" applyFill="1" applyAlignment="1">
      <alignment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0" borderId="4" xfId="2" applyFont="1" applyFill="1" applyBorder="1" applyAlignment="1">
      <alignment horizontal="center" vertical="center" wrapText="1"/>
    </xf>
    <xf numFmtId="9" fontId="5" fillId="2" borderId="4" xfId="2"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5" fillId="2" borderId="4" xfId="1" applyNumberFormat="1" applyFont="1" applyFill="1" applyBorder="1" applyAlignment="1">
      <alignment horizontal="center" vertical="center" wrapText="1"/>
    </xf>
    <xf numFmtId="9" fontId="5" fillId="0" borderId="4" xfId="2" applyFont="1" applyFill="1" applyBorder="1" applyAlignment="1">
      <alignment vertical="center" wrapText="1"/>
    </xf>
    <xf numFmtId="0" fontId="9" fillId="3" borderId="3" xfId="0" applyFont="1" applyFill="1" applyBorder="1" applyAlignment="1">
      <alignment vertical="center"/>
    </xf>
    <xf numFmtId="10" fontId="5" fillId="2" borderId="4" xfId="2" applyNumberFormat="1" applyFont="1" applyFill="1" applyBorder="1" applyAlignment="1">
      <alignment vertical="center" wrapText="1"/>
    </xf>
    <xf numFmtId="165" fontId="6" fillId="2" borderId="4" xfId="2" applyNumberFormat="1" applyFont="1" applyFill="1" applyBorder="1" applyAlignment="1">
      <alignment vertical="center" wrapText="1"/>
    </xf>
    <xf numFmtId="9" fontId="5" fillId="2" borderId="4" xfId="2" applyFont="1" applyFill="1" applyBorder="1" applyAlignment="1">
      <alignment vertical="center" wrapText="1"/>
    </xf>
    <xf numFmtId="0" fontId="5" fillId="2" borderId="4" xfId="0" applyFont="1" applyFill="1" applyBorder="1" applyAlignment="1">
      <alignment vertical="center" wrapText="1"/>
    </xf>
    <xf numFmtId="0" fontId="5" fillId="2" borderId="24" xfId="0" applyFont="1" applyFill="1" applyBorder="1" applyAlignment="1">
      <alignment horizontal="justify" vertical="center" wrapText="1"/>
    </xf>
    <xf numFmtId="164" fontId="5" fillId="0" borderId="24" xfId="1" applyNumberFormat="1" applyFont="1" applyFill="1" applyBorder="1" applyAlignment="1">
      <alignment vertical="center" wrapText="1"/>
    </xf>
    <xf numFmtId="164" fontId="5" fillId="0" borderId="24" xfId="1" applyNumberFormat="1" applyFont="1" applyFill="1" applyBorder="1" applyAlignment="1">
      <alignment horizontal="center" vertical="center" wrapText="1"/>
    </xf>
    <xf numFmtId="165" fontId="5" fillId="0" borderId="4" xfId="2" applyNumberFormat="1" applyFont="1" applyFill="1" applyBorder="1" applyAlignment="1">
      <alignment vertical="center" wrapText="1"/>
    </xf>
    <xf numFmtId="0" fontId="5" fillId="2" borderId="18" xfId="0" applyNumberFormat="1" applyFont="1" applyFill="1" applyBorder="1" applyAlignment="1">
      <alignment horizontal="justify" vertical="center" wrapText="1"/>
    </xf>
    <xf numFmtId="0" fontId="5" fillId="0" borderId="4" xfId="1" applyNumberFormat="1" applyFont="1" applyFill="1" applyBorder="1" applyAlignment="1">
      <alignment horizontal="justify" vertical="center" wrapText="1"/>
    </xf>
    <xf numFmtId="0" fontId="2" fillId="2" borderId="11" xfId="0" applyFont="1" applyFill="1" applyBorder="1" applyAlignment="1">
      <alignment horizontal="right"/>
    </xf>
    <xf numFmtId="0" fontId="2" fillId="2" borderId="0"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4"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16" xfId="0" applyFont="1" applyFill="1" applyBorder="1" applyAlignment="1">
      <alignment horizontal="justify" vertical="center" wrapText="1"/>
    </xf>
    <xf numFmtId="0" fontId="5" fillId="2" borderId="5" xfId="0" applyFont="1" applyFill="1" applyBorder="1" applyAlignment="1">
      <alignment horizont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4" fillId="4" borderId="7"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ESTRATÉGICO INSTITUCIONAL</a:t>
          </a:r>
        </a:p>
        <a:p>
          <a:pPr algn="ctr" rtl="0">
            <a:defRPr sz="1000"/>
          </a:pPr>
          <a:r>
            <a:rPr lang="en-US" sz="2400" b="1" i="0" u="none" strike="noStrike" baseline="0">
              <a:solidFill>
                <a:sysClr val="windowText" lastClr="000000"/>
              </a:solidFill>
              <a:effectLst/>
              <a:latin typeface="Arial Narrow"/>
              <a:ea typeface="+mn-ea"/>
              <a:cs typeface="+mn-cs"/>
            </a:rPr>
            <a:t>Corte a 30 de septiembre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47628"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BreakPreview" zoomScale="60" zoomScaleNormal="60" workbookViewId="0">
      <selection activeCell="K24" sqref="K24"/>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58"/>
      <c r="B36" s="59"/>
      <c r="C36" s="59"/>
      <c r="D36" s="59"/>
      <c r="E36" s="59"/>
      <c r="F36" s="59"/>
      <c r="G36" s="59"/>
      <c r="H36" s="59"/>
      <c r="I36" s="60"/>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view="pageBreakPreview" zoomScale="64" zoomScaleNormal="60" zoomScaleSheetLayoutView="64" zoomScalePageLayoutView="30" workbookViewId="0">
      <pane xSplit="1" ySplit="8" topLeftCell="L25" activePane="bottomRight" state="frozen"/>
      <selection pane="topRight" activeCell="B1" sqref="B1"/>
      <selection pane="bottomLeft" activeCell="A9" sqref="A9"/>
      <selection pane="bottomRight" activeCell="A27" sqref="A27:U27"/>
    </sheetView>
  </sheetViews>
  <sheetFormatPr baseColWidth="10" defaultColWidth="11.42578125" defaultRowHeight="17.25" x14ac:dyDescent="0.3"/>
  <cols>
    <col min="1" max="1" width="31.5703125" style="15" customWidth="1"/>
    <col min="2" max="2" width="39.5703125" style="15" customWidth="1"/>
    <col min="3" max="3" width="16.7109375" style="31" customWidth="1"/>
    <col min="4" max="4" width="13.5703125" style="31" customWidth="1"/>
    <col min="5" max="5" width="11.7109375" style="35" customWidth="1"/>
    <col min="6" max="6" width="11.7109375" style="31" customWidth="1"/>
    <col min="7" max="8" width="14" style="31" customWidth="1"/>
    <col min="9" max="9" width="16.140625" style="35" customWidth="1"/>
    <col min="10" max="10" width="14.5703125" style="31" customWidth="1"/>
    <col min="11" max="11" width="14.42578125" style="35" customWidth="1"/>
    <col min="12" max="12" width="11.7109375" style="31" customWidth="1"/>
    <col min="13" max="13" width="15.5703125" style="31" customWidth="1"/>
    <col min="14" max="14" width="14.42578125" style="31" customWidth="1"/>
    <col min="15" max="15" width="14.5703125" style="31" customWidth="1"/>
    <col min="16" max="16" width="15.7109375" style="31" customWidth="1"/>
    <col min="17" max="17" width="14.42578125" style="35" customWidth="1"/>
    <col min="18" max="19" width="17.140625" style="31" customWidth="1"/>
    <col min="20" max="20" width="117" style="15" customWidth="1"/>
    <col min="21" max="21" width="23.28515625" style="32" customWidth="1"/>
    <col min="22" max="16384" width="11.42578125" style="15"/>
  </cols>
  <sheetData>
    <row r="1" spans="1:23" ht="25.5" customHeight="1" x14ac:dyDescent="0.3">
      <c r="A1" s="77"/>
      <c r="B1" s="77"/>
      <c r="C1" s="78" t="s">
        <v>4</v>
      </c>
      <c r="D1" s="79"/>
      <c r="E1" s="79"/>
      <c r="F1" s="79"/>
      <c r="G1" s="79"/>
      <c r="H1" s="79"/>
      <c r="I1" s="79"/>
      <c r="J1" s="79"/>
      <c r="K1" s="79"/>
      <c r="L1" s="79"/>
      <c r="M1" s="79"/>
      <c r="N1" s="79"/>
      <c r="O1" s="79"/>
      <c r="P1" s="79"/>
      <c r="Q1" s="79"/>
      <c r="R1" s="79"/>
      <c r="S1" s="80"/>
      <c r="T1" s="61" t="s">
        <v>53</v>
      </c>
      <c r="U1" s="62"/>
    </row>
    <row r="2" spans="1:23" ht="25.5" customHeight="1" x14ac:dyDescent="0.3">
      <c r="A2" s="77"/>
      <c r="B2" s="77"/>
      <c r="C2" s="81"/>
      <c r="D2" s="82"/>
      <c r="E2" s="82"/>
      <c r="F2" s="82"/>
      <c r="G2" s="82"/>
      <c r="H2" s="82"/>
      <c r="I2" s="82"/>
      <c r="J2" s="82"/>
      <c r="K2" s="82"/>
      <c r="L2" s="82"/>
      <c r="M2" s="82"/>
      <c r="N2" s="82"/>
      <c r="O2" s="82"/>
      <c r="P2" s="82"/>
      <c r="Q2" s="82"/>
      <c r="R2" s="82"/>
      <c r="S2" s="83"/>
      <c r="T2" s="61" t="s">
        <v>54</v>
      </c>
      <c r="U2" s="62"/>
    </row>
    <row r="3" spans="1:23" s="18" customFormat="1" ht="25.5" customHeight="1" x14ac:dyDescent="0.3">
      <c r="A3" s="77"/>
      <c r="B3" s="77"/>
      <c r="C3" s="84"/>
      <c r="D3" s="85"/>
      <c r="E3" s="85"/>
      <c r="F3" s="85"/>
      <c r="G3" s="85"/>
      <c r="H3" s="85"/>
      <c r="I3" s="85"/>
      <c r="J3" s="85"/>
      <c r="K3" s="85"/>
      <c r="L3" s="85"/>
      <c r="M3" s="85"/>
      <c r="N3" s="85"/>
      <c r="O3" s="85"/>
      <c r="P3" s="85"/>
      <c r="Q3" s="85"/>
      <c r="R3" s="85"/>
      <c r="S3" s="86"/>
      <c r="T3" s="61" t="s">
        <v>55</v>
      </c>
      <c r="U3" s="62"/>
    </row>
    <row r="4" spans="1:23" s="18" customFormat="1" ht="13.15" customHeight="1" x14ac:dyDescent="0.3">
      <c r="A4" s="10"/>
      <c r="B4" s="10"/>
      <c r="C4" s="10"/>
      <c r="D4" s="10"/>
      <c r="E4" s="19"/>
      <c r="F4" s="10"/>
      <c r="G4" s="10"/>
      <c r="H4" s="10"/>
      <c r="I4" s="19"/>
      <c r="J4" s="10"/>
      <c r="K4" s="19"/>
      <c r="L4" s="10"/>
      <c r="M4" s="10"/>
      <c r="N4" s="10"/>
      <c r="O4" s="10"/>
      <c r="P4" s="10"/>
      <c r="Q4" s="19"/>
      <c r="R4" s="10"/>
      <c r="S4" s="10"/>
      <c r="T4" s="10"/>
      <c r="U4" s="10"/>
    </row>
    <row r="5" spans="1:23" s="18" customFormat="1" ht="35.25" customHeight="1" x14ac:dyDescent="0.3">
      <c r="A5" s="87" t="s">
        <v>47</v>
      </c>
      <c r="B5" s="88"/>
      <c r="C5" s="88"/>
      <c r="D5" s="88"/>
      <c r="E5" s="88"/>
      <c r="F5" s="88"/>
      <c r="G5" s="88"/>
      <c r="H5" s="88"/>
      <c r="I5" s="88"/>
      <c r="J5" s="88"/>
      <c r="K5" s="88"/>
      <c r="L5" s="88"/>
      <c r="M5" s="88"/>
      <c r="N5" s="88"/>
      <c r="O5" s="88"/>
      <c r="P5" s="88"/>
      <c r="Q5" s="88"/>
      <c r="R5" s="88"/>
      <c r="S5" s="88"/>
      <c r="T5" s="88"/>
      <c r="U5" s="47"/>
    </row>
    <row r="6" spans="1:23" x14ac:dyDescent="0.3">
      <c r="A6" s="10"/>
      <c r="B6" s="10"/>
      <c r="C6" s="10"/>
      <c r="D6" s="10"/>
      <c r="E6" s="19"/>
      <c r="F6" s="10"/>
      <c r="G6" s="10"/>
      <c r="H6" s="10"/>
      <c r="I6" s="19"/>
      <c r="J6" s="10"/>
      <c r="K6" s="19"/>
      <c r="L6" s="10"/>
      <c r="M6" s="10"/>
      <c r="N6" s="10"/>
      <c r="O6" s="10"/>
      <c r="P6" s="10"/>
      <c r="Q6" s="19"/>
      <c r="R6" s="10"/>
      <c r="S6" s="10"/>
      <c r="T6" s="10"/>
      <c r="U6" s="10"/>
    </row>
    <row r="7" spans="1:23" ht="35.25" customHeight="1" x14ac:dyDescent="0.3">
      <c r="A7" s="63" t="s">
        <v>5</v>
      </c>
      <c r="B7" s="63" t="s">
        <v>6</v>
      </c>
      <c r="C7" s="63" t="s">
        <v>7</v>
      </c>
      <c r="D7" s="63" t="s">
        <v>42</v>
      </c>
      <c r="E7" s="63" t="s">
        <v>10</v>
      </c>
      <c r="F7" s="65" t="s">
        <v>35</v>
      </c>
      <c r="G7" s="63" t="s">
        <v>11</v>
      </c>
      <c r="H7" s="65" t="s">
        <v>51</v>
      </c>
      <c r="I7" s="63" t="s">
        <v>12</v>
      </c>
      <c r="J7" s="65" t="s">
        <v>59</v>
      </c>
      <c r="K7" s="63" t="s">
        <v>13</v>
      </c>
      <c r="L7" s="68" t="s">
        <v>57</v>
      </c>
      <c r="M7" s="69"/>
      <c r="N7" s="69"/>
      <c r="O7" s="70"/>
      <c r="P7" s="67" t="s">
        <v>58</v>
      </c>
      <c r="Q7" s="63" t="s">
        <v>8</v>
      </c>
      <c r="R7" s="67" t="s">
        <v>48</v>
      </c>
      <c r="S7" s="67" t="s">
        <v>52</v>
      </c>
      <c r="T7" s="65" t="s">
        <v>82</v>
      </c>
      <c r="U7" s="63" t="s">
        <v>9</v>
      </c>
    </row>
    <row r="8" spans="1:23" ht="30.75" customHeight="1" x14ac:dyDescent="0.3">
      <c r="A8" s="63"/>
      <c r="B8" s="64"/>
      <c r="C8" s="64"/>
      <c r="D8" s="64"/>
      <c r="E8" s="64"/>
      <c r="F8" s="66"/>
      <c r="G8" s="64"/>
      <c r="H8" s="66"/>
      <c r="I8" s="64"/>
      <c r="J8" s="66"/>
      <c r="K8" s="64"/>
      <c r="L8" s="38" t="s">
        <v>0</v>
      </c>
      <c r="M8" s="38" t="s">
        <v>1</v>
      </c>
      <c r="N8" s="38" t="s">
        <v>2</v>
      </c>
      <c r="O8" s="38" t="s">
        <v>3</v>
      </c>
      <c r="P8" s="65"/>
      <c r="Q8" s="64"/>
      <c r="R8" s="65"/>
      <c r="S8" s="65"/>
      <c r="T8" s="89"/>
      <c r="U8" s="63"/>
    </row>
    <row r="9" spans="1:23" ht="409.5" customHeight="1" x14ac:dyDescent="0.3">
      <c r="A9" s="76" t="s">
        <v>14</v>
      </c>
      <c r="B9" s="52" t="s">
        <v>15</v>
      </c>
      <c r="C9" s="53" t="s">
        <v>16</v>
      </c>
      <c r="D9" s="53">
        <v>9163</v>
      </c>
      <c r="E9" s="53">
        <v>2500</v>
      </c>
      <c r="F9" s="53">
        <v>2500</v>
      </c>
      <c r="G9" s="53">
        <v>2500</v>
      </c>
      <c r="H9" s="53">
        <v>1819</v>
      </c>
      <c r="I9" s="53">
        <v>2160</v>
      </c>
      <c r="J9" s="53">
        <v>2078</v>
      </c>
      <c r="K9" s="53">
        <v>1500</v>
      </c>
      <c r="L9" s="54" t="s">
        <v>17</v>
      </c>
      <c r="M9" s="53">
        <v>1365</v>
      </c>
      <c r="N9" s="53">
        <f>+M9+20+13</f>
        <v>1398</v>
      </c>
      <c r="O9" s="53"/>
      <c r="P9" s="12">
        <f>+IF((N9/K9&gt;100%),100%,(N9/K9))</f>
        <v>0.93200000000000005</v>
      </c>
      <c r="Q9" s="53">
        <f>+E9+G9+I9+K9</f>
        <v>8660</v>
      </c>
      <c r="R9" s="53">
        <f>+F9+H9+J9+N9</f>
        <v>7795</v>
      </c>
      <c r="S9" s="24">
        <f t="shared" ref="S9:S18" si="0">+IF((R9/Q9&gt;100%),100%,(R9/Q9))</f>
        <v>0.90011547344110854</v>
      </c>
      <c r="T9" s="56" t="s">
        <v>68</v>
      </c>
      <c r="U9" s="40" t="s">
        <v>36</v>
      </c>
      <c r="W9" s="39"/>
    </row>
    <row r="10" spans="1:23" ht="267.75" customHeight="1" x14ac:dyDescent="0.3">
      <c r="A10" s="74"/>
      <c r="B10" s="20" t="s">
        <v>63</v>
      </c>
      <c r="C10" s="21" t="s">
        <v>16</v>
      </c>
      <c r="D10" s="22">
        <v>6721</v>
      </c>
      <c r="E10" s="11">
        <v>7000</v>
      </c>
      <c r="F10" s="13">
        <v>7660</v>
      </c>
      <c r="G10" s="11">
        <v>7700</v>
      </c>
      <c r="H10" s="13">
        <v>6052</v>
      </c>
      <c r="I10" s="11">
        <v>9100</v>
      </c>
      <c r="J10" s="11">
        <v>9555</v>
      </c>
      <c r="K10" s="11">
        <v>13400</v>
      </c>
      <c r="L10" s="13">
        <v>1959</v>
      </c>
      <c r="M10" s="11">
        <v>4716</v>
      </c>
      <c r="N10" s="11">
        <v>7755</v>
      </c>
      <c r="O10" s="11"/>
      <c r="P10" s="12">
        <f t="shared" ref="P10:P15" si="1">+IF((N10/K10&gt;100%),100%,(N10/K10))</f>
        <v>0.57873134328358211</v>
      </c>
      <c r="Q10" s="11">
        <v>13400</v>
      </c>
      <c r="R10" s="11">
        <v>9555</v>
      </c>
      <c r="S10" s="24">
        <f t="shared" si="0"/>
        <v>0.71305970149253728</v>
      </c>
      <c r="T10" s="33" t="s">
        <v>69</v>
      </c>
      <c r="U10" s="21" t="s">
        <v>36</v>
      </c>
    </row>
    <row r="11" spans="1:23" ht="408.75" customHeight="1" x14ac:dyDescent="0.3">
      <c r="A11" s="75"/>
      <c r="B11" s="20" t="s">
        <v>46</v>
      </c>
      <c r="C11" s="21" t="s">
        <v>16</v>
      </c>
      <c r="D11" s="22">
        <v>226</v>
      </c>
      <c r="E11" s="11" t="s">
        <v>17</v>
      </c>
      <c r="F11" s="13" t="s">
        <v>17</v>
      </c>
      <c r="G11" s="11">
        <v>221</v>
      </c>
      <c r="H11" s="13">
        <v>223</v>
      </c>
      <c r="I11" s="11">
        <v>217</v>
      </c>
      <c r="J11" s="11">
        <v>200</v>
      </c>
      <c r="K11" s="11">
        <v>336</v>
      </c>
      <c r="L11" s="13" t="s">
        <v>17</v>
      </c>
      <c r="M11" s="11">
        <f>39+12</f>
        <v>51</v>
      </c>
      <c r="N11" s="11">
        <f>+M11+18+21+51+10+1+2</f>
        <v>154</v>
      </c>
      <c r="O11" s="11"/>
      <c r="P11" s="12">
        <f t="shared" si="1"/>
        <v>0.45833333333333331</v>
      </c>
      <c r="Q11" s="11">
        <f>+G11+I11+K11</f>
        <v>774</v>
      </c>
      <c r="R11" s="11">
        <f>+H11+J11+N11</f>
        <v>577</v>
      </c>
      <c r="S11" s="12">
        <f t="shared" si="0"/>
        <v>0.74547803617571062</v>
      </c>
      <c r="T11" s="33" t="s">
        <v>70</v>
      </c>
      <c r="U11" s="21" t="s">
        <v>36</v>
      </c>
    </row>
    <row r="12" spans="1:23" ht="313.5" customHeight="1" x14ac:dyDescent="0.3">
      <c r="A12" s="73" t="s">
        <v>18</v>
      </c>
      <c r="B12" s="20" t="s">
        <v>19</v>
      </c>
      <c r="C12" s="21" t="s">
        <v>16</v>
      </c>
      <c r="D12" s="22">
        <v>1254</v>
      </c>
      <c r="E12" s="11">
        <v>1250</v>
      </c>
      <c r="F12" s="13">
        <v>1251</v>
      </c>
      <c r="G12" s="11">
        <v>1910</v>
      </c>
      <c r="H12" s="13">
        <v>2408</v>
      </c>
      <c r="I12" s="11">
        <v>1908</v>
      </c>
      <c r="J12" s="36">
        <v>2205</v>
      </c>
      <c r="K12" s="11">
        <v>1930</v>
      </c>
      <c r="L12" s="13">
        <v>2</v>
      </c>
      <c r="M12" s="11">
        <f>+L12+39+80</f>
        <v>121</v>
      </c>
      <c r="N12" s="11">
        <f>121+169+37+22+14</f>
        <v>363</v>
      </c>
      <c r="O12" s="36"/>
      <c r="P12" s="12">
        <f>+IF((N12/K12&gt;100%),100%,(N12/K12))</f>
        <v>0.18808290155440416</v>
      </c>
      <c r="Q12" s="11">
        <f>+E12+I12+G12+K12</f>
        <v>6998</v>
      </c>
      <c r="R12" s="11">
        <f>+F12+H12+J12+N12</f>
        <v>6227</v>
      </c>
      <c r="S12" s="24">
        <f>+IF((R12/Q12&gt;100%),100%,(R12/Q12))</f>
        <v>0.88982566447556444</v>
      </c>
      <c r="T12" s="33" t="s">
        <v>71</v>
      </c>
      <c r="U12" s="21" t="s">
        <v>37</v>
      </c>
    </row>
    <row r="13" spans="1:23" ht="315" customHeight="1" x14ac:dyDescent="0.3">
      <c r="A13" s="74"/>
      <c r="B13" s="44" t="s">
        <v>61</v>
      </c>
      <c r="C13" s="44" t="s">
        <v>34</v>
      </c>
      <c r="D13" s="44">
        <v>0</v>
      </c>
      <c r="E13" s="44">
        <v>4</v>
      </c>
      <c r="F13" s="44">
        <v>3</v>
      </c>
      <c r="G13" s="44">
        <v>6</v>
      </c>
      <c r="H13" s="44">
        <v>7</v>
      </c>
      <c r="I13" s="44">
        <v>8</v>
      </c>
      <c r="J13" s="44">
        <v>8</v>
      </c>
      <c r="K13" s="44">
        <v>17</v>
      </c>
      <c r="L13" s="44">
        <v>3</v>
      </c>
      <c r="M13" s="44">
        <f>+L13+2</f>
        <v>5</v>
      </c>
      <c r="N13" s="44">
        <f>+M13+1</f>
        <v>6</v>
      </c>
      <c r="O13" s="44"/>
      <c r="P13" s="24">
        <f>+IF((N13/K13&gt;100%),100%,(N13/K13))</f>
        <v>0.35294117647058826</v>
      </c>
      <c r="Q13" s="44">
        <f>+E13+I13+G13+K13</f>
        <v>35</v>
      </c>
      <c r="R13" s="44">
        <f>+H13+F13+J13+N13</f>
        <v>24</v>
      </c>
      <c r="S13" s="24">
        <f t="shared" si="0"/>
        <v>0.68571428571428572</v>
      </c>
      <c r="T13" s="57" t="s">
        <v>72</v>
      </c>
      <c r="U13" s="41" t="s">
        <v>37</v>
      </c>
    </row>
    <row r="14" spans="1:23" ht="263.25" customHeight="1" x14ac:dyDescent="0.3">
      <c r="A14" s="75"/>
      <c r="B14" s="20" t="s">
        <v>64</v>
      </c>
      <c r="C14" s="21" t="s">
        <v>16</v>
      </c>
      <c r="D14" s="22">
        <v>259</v>
      </c>
      <c r="E14" s="11">
        <v>300</v>
      </c>
      <c r="F14" s="13">
        <v>321</v>
      </c>
      <c r="G14" s="11">
        <v>360</v>
      </c>
      <c r="H14" s="13">
        <v>545</v>
      </c>
      <c r="I14" s="11">
        <v>470</v>
      </c>
      <c r="J14" s="11">
        <v>595</v>
      </c>
      <c r="K14" s="11">
        <v>600</v>
      </c>
      <c r="L14" s="17">
        <v>69</v>
      </c>
      <c r="M14" s="11">
        <v>142</v>
      </c>
      <c r="N14" s="11">
        <f>+M14+82</f>
        <v>224</v>
      </c>
      <c r="O14" s="11"/>
      <c r="P14" s="24">
        <f t="shared" si="1"/>
        <v>0.37333333333333335</v>
      </c>
      <c r="Q14" s="11">
        <v>600</v>
      </c>
      <c r="R14" s="11">
        <v>595</v>
      </c>
      <c r="S14" s="24">
        <f t="shared" si="0"/>
        <v>0.9916666666666667</v>
      </c>
      <c r="T14" s="33" t="s">
        <v>73</v>
      </c>
      <c r="U14" s="21" t="s">
        <v>37</v>
      </c>
    </row>
    <row r="15" spans="1:23" ht="244.5" customHeight="1" x14ac:dyDescent="0.3">
      <c r="A15" s="73" t="s">
        <v>21</v>
      </c>
      <c r="B15" s="20" t="s">
        <v>22</v>
      </c>
      <c r="C15" s="21" t="s">
        <v>16</v>
      </c>
      <c r="D15" s="22">
        <v>328340</v>
      </c>
      <c r="E15" s="11">
        <v>180000</v>
      </c>
      <c r="F15" s="13">
        <v>193993</v>
      </c>
      <c r="G15" s="11">
        <v>1053900</v>
      </c>
      <c r="H15" s="13">
        <v>1423025</v>
      </c>
      <c r="I15" s="11">
        <v>3874830</v>
      </c>
      <c r="J15" s="11">
        <v>10249825</v>
      </c>
      <c r="K15" s="11">
        <v>3891270</v>
      </c>
      <c r="L15" s="13">
        <f>603251+2714</f>
        <v>605965</v>
      </c>
      <c r="M15" s="11">
        <f>+L15+12614+30+106217+999017</f>
        <v>1723843</v>
      </c>
      <c r="N15" s="11">
        <f>+M15+2698+65246+339643+43078+171471+600</f>
        <v>2346579</v>
      </c>
      <c r="O15" s="11"/>
      <c r="P15" s="24">
        <f t="shared" si="1"/>
        <v>0.60303679775497465</v>
      </c>
      <c r="Q15" s="11">
        <v>15700000</v>
      </c>
      <c r="R15" s="11">
        <f>+H15+F15+J15+N15</f>
        <v>14213422</v>
      </c>
      <c r="S15" s="24">
        <f t="shared" si="0"/>
        <v>0.90531350318471338</v>
      </c>
      <c r="T15" s="33" t="s">
        <v>74</v>
      </c>
      <c r="U15" s="21" t="s">
        <v>38</v>
      </c>
    </row>
    <row r="16" spans="1:23" ht="276.75" customHeight="1" x14ac:dyDescent="0.3">
      <c r="A16" s="74"/>
      <c r="B16" s="20" t="s">
        <v>23</v>
      </c>
      <c r="C16" s="21" t="s">
        <v>20</v>
      </c>
      <c r="D16" s="22">
        <v>2349339</v>
      </c>
      <c r="E16" s="11">
        <v>300000</v>
      </c>
      <c r="F16" s="13">
        <v>305995</v>
      </c>
      <c r="G16" s="11">
        <v>600000</v>
      </c>
      <c r="H16" s="13">
        <v>341253</v>
      </c>
      <c r="I16" s="11">
        <v>351247</v>
      </c>
      <c r="J16" s="11">
        <v>363491</v>
      </c>
      <c r="K16" s="11">
        <v>198753</v>
      </c>
      <c r="L16" s="13">
        <v>3000</v>
      </c>
      <c r="M16" s="11">
        <f>+L16+17000+254</f>
        <v>20254</v>
      </c>
      <c r="N16" s="11">
        <f>+M16+6+35000+14473</f>
        <v>69733</v>
      </c>
      <c r="O16" s="11"/>
      <c r="P16" s="24">
        <f>+IF((N16/K16&gt;100%),100%,(N16/K16))</f>
        <v>0.35085256574743529</v>
      </c>
      <c r="Q16" s="11">
        <f>+E16+G16+I16+K16</f>
        <v>1450000</v>
      </c>
      <c r="R16" s="11">
        <f>+H16+F16+J16+N16</f>
        <v>1080472</v>
      </c>
      <c r="S16" s="24">
        <f t="shared" si="0"/>
        <v>0.7451531034482759</v>
      </c>
      <c r="T16" s="33" t="s">
        <v>75</v>
      </c>
      <c r="U16" s="21" t="s">
        <v>38</v>
      </c>
    </row>
    <row r="17" spans="1:21" ht="246.75" customHeight="1" x14ac:dyDescent="0.3">
      <c r="A17" s="73" t="s">
        <v>24</v>
      </c>
      <c r="B17" s="20" t="s">
        <v>65</v>
      </c>
      <c r="C17" s="21" t="s">
        <v>20</v>
      </c>
      <c r="D17" s="16">
        <v>0.69</v>
      </c>
      <c r="E17" s="12">
        <v>0.7</v>
      </c>
      <c r="F17" s="23">
        <v>0.79479999999999995</v>
      </c>
      <c r="G17" s="12">
        <v>0.8</v>
      </c>
      <c r="H17" s="16">
        <v>1</v>
      </c>
      <c r="I17" s="12">
        <v>1</v>
      </c>
      <c r="J17" s="11">
        <v>100</v>
      </c>
      <c r="K17" s="12">
        <v>1</v>
      </c>
      <c r="L17" s="13" t="s">
        <v>17</v>
      </c>
      <c r="M17" s="25">
        <v>0.2092</v>
      </c>
      <c r="N17" s="25">
        <v>0.24840000000000001</v>
      </c>
      <c r="O17" s="11"/>
      <c r="P17" s="24">
        <f>+IF((N17/K17&gt;100%),100%,(N17/K17))</f>
        <v>0.24840000000000001</v>
      </c>
      <c r="Q17" s="12">
        <v>1</v>
      </c>
      <c r="R17" s="12">
        <f>+H17</f>
        <v>1</v>
      </c>
      <c r="S17" s="37">
        <f t="shared" si="0"/>
        <v>1</v>
      </c>
      <c r="T17" s="33" t="s">
        <v>76</v>
      </c>
      <c r="U17" s="21" t="s">
        <v>37</v>
      </c>
    </row>
    <row r="18" spans="1:21" ht="216.75" customHeight="1" x14ac:dyDescent="0.3">
      <c r="A18" s="74"/>
      <c r="B18" s="20" t="s">
        <v>25</v>
      </c>
      <c r="C18" s="21" t="s">
        <v>20</v>
      </c>
      <c r="D18" s="22">
        <v>0</v>
      </c>
      <c r="E18" s="11">
        <v>3</v>
      </c>
      <c r="F18" s="13">
        <v>3</v>
      </c>
      <c r="G18" s="11">
        <v>3</v>
      </c>
      <c r="H18" s="13">
        <v>3</v>
      </c>
      <c r="I18" s="11">
        <v>2</v>
      </c>
      <c r="J18" s="11">
        <v>2</v>
      </c>
      <c r="K18" s="11">
        <v>0</v>
      </c>
      <c r="L18" s="13" t="s">
        <v>17</v>
      </c>
      <c r="M18" s="13" t="s">
        <v>17</v>
      </c>
      <c r="N18" s="13" t="s">
        <v>17</v>
      </c>
      <c r="O18" s="11"/>
      <c r="P18" s="36" t="s">
        <v>17</v>
      </c>
      <c r="Q18" s="11">
        <v>8</v>
      </c>
      <c r="R18" s="11">
        <f>+F18+H18+J18</f>
        <v>8</v>
      </c>
      <c r="S18" s="37">
        <f t="shared" si="0"/>
        <v>1</v>
      </c>
      <c r="T18" s="33" t="s">
        <v>62</v>
      </c>
      <c r="U18" s="21" t="s">
        <v>37</v>
      </c>
    </row>
    <row r="19" spans="1:21" ht="288.75" customHeight="1" x14ac:dyDescent="0.3">
      <c r="A19" s="74"/>
      <c r="B19" s="20" t="s">
        <v>26</v>
      </c>
      <c r="C19" s="21" t="s">
        <v>16</v>
      </c>
      <c r="D19" s="22" t="s">
        <v>17</v>
      </c>
      <c r="E19" s="11" t="s">
        <v>17</v>
      </c>
      <c r="F19" s="13">
        <v>2</v>
      </c>
      <c r="G19" s="11">
        <v>3</v>
      </c>
      <c r="H19" s="13">
        <v>3</v>
      </c>
      <c r="I19" s="11">
        <v>2</v>
      </c>
      <c r="J19" s="13">
        <v>0</v>
      </c>
      <c r="K19" s="11">
        <v>3</v>
      </c>
      <c r="L19" s="13" t="s">
        <v>17</v>
      </c>
      <c r="M19" s="13">
        <v>2</v>
      </c>
      <c r="N19" s="13">
        <f>+M19</f>
        <v>2</v>
      </c>
      <c r="O19" s="13"/>
      <c r="P19" s="24">
        <f>+IF((N19/K19&gt;100%),100%,(N19/K19))</f>
        <v>0.66666666666666663</v>
      </c>
      <c r="Q19" s="11">
        <f>I19+G19+K19</f>
        <v>8</v>
      </c>
      <c r="R19" s="13">
        <f>+H19+F19+J19+N19</f>
        <v>7</v>
      </c>
      <c r="S19" s="37">
        <f>+IF((R19/Q19&gt;100%),100%,(R19/Q19))</f>
        <v>0.875</v>
      </c>
      <c r="T19" s="33" t="s">
        <v>77</v>
      </c>
      <c r="U19" s="21" t="s">
        <v>39</v>
      </c>
    </row>
    <row r="20" spans="1:21" ht="136.5" hidden="1" customHeight="1" x14ac:dyDescent="0.3">
      <c r="A20" s="75"/>
      <c r="B20" s="20" t="s">
        <v>27</v>
      </c>
      <c r="C20" s="21" t="s">
        <v>16</v>
      </c>
      <c r="D20" s="16">
        <v>0.46</v>
      </c>
      <c r="E20" s="24">
        <v>0.495</v>
      </c>
      <c r="F20" s="23">
        <v>0.64419999999999999</v>
      </c>
      <c r="G20" s="12">
        <v>0.53</v>
      </c>
      <c r="H20" s="12">
        <v>0.75600000000000001</v>
      </c>
      <c r="I20" s="25">
        <v>0.56499999999999995</v>
      </c>
      <c r="J20" s="13"/>
      <c r="K20" s="12">
        <v>0.6</v>
      </c>
      <c r="L20" s="13" t="s">
        <v>17</v>
      </c>
      <c r="M20" s="23"/>
      <c r="N20" s="13"/>
      <c r="O20" s="13"/>
      <c r="P20" s="12">
        <f t="shared" ref="P20" si="2">+N20/K20</f>
        <v>0</v>
      </c>
      <c r="Q20" s="12">
        <v>0.6</v>
      </c>
      <c r="R20" s="16" t="e">
        <f>+#REF!</f>
        <v>#REF!</v>
      </c>
      <c r="S20" s="37" t="e">
        <f t="shared" ref="S20" si="3">+IF((R20/Q20&gt;100%),100%,(R20/Q20))</f>
        <v>#REF!</v>
      </c>
      <c r="T20" s="33"/>
      <c r="U20" s="21" t="s">
        <v>40</v>
      </c>
    </row>
    <row r="21" spans="1:21" ht="186.75" customHeight="1" x14ac:dyDescent="0.3">
      <c r="A21" s="20" t="s">
        <v>28</v>
      </c>
      <c r="B21" s="20" t="s">
        <v>60</v>
      </c>
      <c r="C21" s="21" t="s">
        <v>33</v>
      </c>
      <c r="D21" s="22">
        <v>0</v>
      </c>
      <c r="E21" s="11">
        <v>18</v>
      </c>
      <c r="F21" s="13">
        <v>20</v>
      </c>
      <c r="G21" s="11">
        <v>31</v>
      </c>
      <c r="H21" s="13">
        <v>30</v>
      </c>
      <c r="I21" s="11">
        <v>33</v>
      </c>
      <c r="J21" s="13">
        <v>33</v>
      </c>
      <c r="K21" s="11">
        <v>33</v>
      </c>
      <c r="L21" s="13" t="s">
        <v>17</v>
      </c>
      <c r="M21" s="13">
        <v>9</v>
      </c>
      <c r="N21" s="13">
        <f>+M21</f>
        <v>9</v>
      </c>
      <c r="O21" s="13"/>
      <c r="P21" s="24">
        <f>+IF((N21/K21&gt;100%),100%,(N21/K21))</f>
        <v>0.27272727272727271</v>
      </c>
      <c r="Q21" s="11">
        <v>33</v>
      </c>
      <c r="R21" s="17">
        <f>+J21</f>
        <v>33</v>
      </c>
      <c r="S21" s="37">
        <f>+IF((R21/Q21&gt;100%),100%,(R21/Q21))</f>
        <v>1</v>
      </c>
      <c r="T21" s="33" t="s">
        <v>78</v>
      </c>
      <c r="U21" s="21" t="s">
        <v>41</v>
      </c>
    </row>
    <row r="22" spans="1:21" ht="204" customHeight="1" x14ac:dyDescent="0.3">
      <c r="A22" s="26" t="s">
        <v>29</v>
      </c>
      <c r="B22" s="20" t="s">
        <v>66</v>
      </c>
      <c r="C22" s="21" t="s">
        <v>20</v>
      </c>
      <c r="D22" s="22">
        <v>3</v>
      </c>
      <c r="E22" s="11" t="s">
        <v>17</v>
      </c>
      <c r="F22" s="13" t="s">
        <v>17</v>
      </c>
      <c r="G22" s="11">
        <v>5</v>
      </c>
      <c r="H22" s="13">
        <v>5</v>
      </c>
      <c r="I22" s="11">
        <v>7</v>
      </c>
      <c r="J22" s="13">
        <v>7</v>
      </c>
      <c r="K22" s="11">
        <v>9</v>
      </c>
      <c r="L22" s="13">
        <v>1</v>
      </c>
      <c r="M22" s="13">
        <f>+L22+2</f>
        <v>3</v>
      </c>
      <c r="N22" s="13">
        <f>+M22+2+1</f>
        <v>6</v>
      </c>
      <c r="O22" s="13"/>
      <c r="P22" s="24">
        <f>+IF((N22/K22&gt;100%),100%,(N22/K22))</f>
        <v>0.66666666666666663</v>
      </c>
      <c r="Q22" s="11">
        <f>+K22</f>
        <v>9</v>
      </c>
      <c r="R22" s="13">
        <f>+J22</f>
        <v>7</v>
      </c>
      <c r="S22" s="37">
        <f>+IF((R22/Q22&gt;100%),100%,(R22/Q22))</f>
        <v>0.77777777777777779</v>
      </c>
      <c r="T22" s="33" t="s">
        <v>79</v>
      </c>
      <c r="U22" s="21" t="s">
        <v>43</v>
      </c>
    </row>
    <row r="23" spans="1:21" ht="409.5" customHeight="1" x14ac:dyDescent="0.3">
      <c r="A23" s="41" t="s">
        <v>30</v>
      </c>
      <c r="B23" s="41" t="s">
        <v>31</v>
      </c>
      <c r="C23" s="41" t="s">
        <v>34</v>
      </c>
      <c r="D23" s="43">
        <v>0.62</v>
      </c>
      <c r="E23" s="44" t="s">
        <v>17</v>
      </c>
      <c r="F23" s="45" t="s">
        <v>17</v>
      </c>
      <c r="G23" s="42">
        <v>0.86</v>
      </c>
      <c r="H23" s="42">
        <v>1.02</v>
      </c>
      <c r="I23" s="46">
        <v>0.96</v>
      </c>
      <c r="J23" s="46">
        <v>0.99150000000000005</v>
      </c>
      <c r="K23" s="49">
        <v>1</v>
      </c>
      <c r="L23" s="48">
        <v>0.67800000000000005</v>
      </c>
      <c r="M23" s="49">
        <v>0.82</v>
      </c>
      <c r="N23" s="50">
        <v>0.84</v>
      </c>
      <c r="O23" s="46"/>
      <c r="P23" s="24">
        <f>+IF((N23/K23&gt;100%),100%,(N23/K23))</f>
        <v>0.84</v>
      </c>
      <c r="Q23" s="50">
        <v>1</v>
      </c>
      <c r="R23" s="55">
        <f>+N23</f>
        <v>0.84</v>
      </c>
      <c r="S23" s="37">
        <f>+IF((R23/Q23&gt;100%),100%,(R23/Q23))</f>
        <v>0.84</v>
      </c>
      <c r="T23" s="57" t="s">
        <v>80</v>
      </c>
      <c r="U23" s="51" t="s">
        <v>44</v>
      </c>
    </row>
    <row r="24" spans="1:21" ht="317.25" customHeight="1" x14ac:dyDescent="0.3">
      <c r="A24" s="26" t="s">
        <v>32</v>
      </c>
      <c r="B24" s="20" t="s">
        <v>49</v>
      </c>
      <c r="C24" s="21" t="s">
        <v>20</v>
      </c>
      <c r="D24" s="22" t="s">
        <v>50</v>
      </c>
      <c r="E24" s="11" t="s">
        <v>17</v>
      </c>
      <c r="F24" s="13" t="s">
        <v>17</v>
      </c>
      <c r="G24" s="11">
        <v>250000</v>
      </c>
      <c r="H24" s="13">
        <v>215607</v>
      </c>
      <c r="I24" s="11">
        <v>285000</v>
      </c>
      <c r="J24" s="13">
        <v>389975</v>
      </c>
      <c r="K24" s="11">
        <v>250000</v>
      </c>
      <c r="L24" s="13">
        <v>12870</v>
      </c>
      <c r="M24" s="34">
        <v>92180</v>
      </c>
      <c r="N24" s="13">
        <f>+M24+23828+21297</f>
        <v>137305</v>
      </c>
      <c r="O24" s="13"/>
      <c r="P24" s="24">
        <f>+IF((N24/K24&gt;100%),100%,(N24/K24))</f>
        <v>0.54922000000000004</v>
      </c>
      <c r="Q24" s="11">
        <v>750000</v>
      </c>
      <c r="R24" s="13">
        <f>+H24+J24+N24</f>
        <v>742887</v>
      </c>
      <c r="S24" s="24">
        <f>+IF((R24/Q24&gt;100%),100%,(R24/Q24))</f>
        <v>0.99051599999999995</v>
      </c>
      <c r="T24" s="33" t="s">
        <v>81</v>
      </c>
      <c r="U24" s="21" t="s">
        <v>45</v>
      </c>
    </row>
    <row r="25" spans="1:21" ht="48" customHeight="1" x14ac:dyDescent="0.3">
      <c r="A25" s="27"/>
      <c r="B25" s="28"/>
      <c r="C25" s="29"/>
      <c r="D25" s="29"/>
      <c r="E25" s="30"/>
      <c r="F25" s="14"/>
      <c r="G25" s="14"/>
      <c r="H25" s="14"/>
      <c r="I25" s="30"/>
      <c r="J25" s="14"/>
      <c r="K25" s="30"/>
      <c r="L25" s="14"/>
      <c r="M25" s="14"/>
      <c r="N25" s="14"/>
      <c r="O25" s="14"/>
      <c r="P25" s="14"/>
      <c r="Q25" s="30"/>
      <c r="R25" s="14"/>
      <c r="S25" s="14"/>
      <c r="T25" s="14"/>
      <c r="U25" s="29"/>
    </row>
    <row r="26" spans="1:21" ht="66.75" customHeight="1" x14ac:dyDescent="0.3">
      <c r="A26" s="71" t="s">
        <v>56</v>
      </c>
      <c r="B26" s="72"/>
      <c r="C26" s="72"/>
      <c r="D26" s="72"/>
      <c r="E26" s="72"/>
      <c r="F26" s="72"/>
      <c r="G26" s="72"/>
      <c r="H26" s="72"/>
      <c r="I26" s="72"/>
      <c r="J26" s="72"/>
      <c r="K26" s="72"/>
      <c r="L26" s="72"/>
      <c r="M26" s="72"/>
      <c r="N26" s="72"/>
      <c r="O26" s="72"/>
      <c r="P26" s="72"/>
      <c r="Q26" s="72"/>
      <c r="R26" s="72"/>
      <c r="S26" s="72"/>
      <c r="T26" s="72"/>
      <c r="U26" s="72"/>
    </row>
    <row r="27" spans="1:21" ht="46.5" customHeight="1" x14ac:dyDescent="0.3">
      <c r="A27" s="71" t="s">
        <v>67</v>
      </c>
      <c r="B27" s="72"/>
      <c r="C27" s="72"/>
      <c r="D27" s="72"/>
      <c r="E27" s="72"/>
      <c r="F27" s="72"/>
      <c r="G27" s="72"/>
      <c r="H27" s="72"/>
      <c r="I27" s="72"/>
      <c r="J27" s="72"/>
      <c r="K27" s="72"/>
      <c r="L27" s="72"/>
      <c r="M27" s="72"/>
      <c r="N27" s="72"/>
      <c r="O27" s="72"/>
      <c r="P27" s="72"/>
      <c r="Q27" s="72"/>
      <c r="R27" s="72"/>
      <c r="S27" s="72"/>
      <c r="T27" s="72"/>
      <c r="U27" s="72"/>
    </row>
  </sheetData>
  <mergeCells count="30">
    <mergeCell ref="A9:A11"/>
    <mergeCell ref="K7:K8"/>
    <mergeCell ref="S7:S8"/>
    <mergeCell ref="A1:B3"/>
    <mergeCell ref="A7:A8"/>
    <mergeCell ref="B7:B8"/>
    <mergeCell ref="C7:C8"/>
    <mergeCell ref="D7:D8"/>
    <mergeCell ref="E7:E8"/>
    <mergeCell ref="I7:I8"/>
    <mergeCell ref="F7:F8"/>
    <mergeCell ref="C1:S3"/>
    <mergeCell ref="A5:T5"/>
    <mergeCell ref="T7:T8"/>
    <mergeCell ref="T1:U1"/>
    <mergeCell ref="T2:U2"/>
    <mergeCell ref="A27:U27"/>
    <mergeCell ref="A26:U26"/>
    <mergeCell ref="A12:A14"/>
    <mergeCell ref="A15:A16"/>
    <mergeCell ref="A17:A20"/>
    <mergeCell ref="T3:U3"/>
    <mergeCell ref="G7:G8"/>
    <mergeCell ref="H7:H8"/>
    <mergeCell ref="R7:R8"/>
    <mergeCell ref="U7:U8"/>
    <mergeCell ref="Q7:Q8"/>
    <mergeCell ref="P7:P8"/>
    <mergeCell ref="J7:J8"/>
    <mergeCell ref="L7:O7"/>
  </mergeCells>
  <printOptions horizontalCentered="1" verticalCentered="1"/>
  <pageMargins left="0.43307086614173229" right="0.43307086614173229" top="0.74803149606299213" bottom="0.55118110236220474" header="0.31496062992125984" footer="0.11811023622047245"/>
  <pageSetup scale="28" fitToHeight="0" orientation="landscape" r:id="rId1"/>
  <headerFooter differentFirst="1">
    <oddFooter>&amp;RPágina &amp;P de &amp;N</oddFooter>
  </headerFooter>
  <rowBreaks count="4" manualBreakCount="4">
    <brk id="11" max="23" man="1"/>
    <brk id="14" max="23" man="1"/>
    <brk id="16" max="23" man="1"/>
    <brk id="1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 3er trimestre</vt:lpstr>
      <vt:lpstr>'Seguimiento PEI 3er trimestre'!Área_de_impresión</vt:lpstr>
      <vt:lpstr>'Seguimiento PEI 3er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2018-07-30T21:03:33Z</cp:lastPrinted>
  <dcterms:created xsi:type="dcterms:W3CDTF">2016-06-27T17:21:45Z</dcterms:created>
  <dcterms:modified xsi:type="dcterms:W3CDTF">2018-11-04T21:39:57Z</dcterms:modified>
</cp:coreProperties>
</file>