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codeName="ThisWorkbook"/>
  <mc:AlternateContent xmlns:mc="http://schemas.openxmlformats.org/markup-compatibility/2006">
    <mc:Choice Requires="x15">
      <x15ac:absPath xmlns:x15ac="http://schemas.microsoft.com/office/spreadsheetml/2010/11/ac" url="O:\Planeacion\2. PLANEACIÓN INSTITUCIONAL\03- Registros Planeación Institucional 2015-2018\02 PAI 2015-2018\2018\1. PAI\3. Informes\4. T4\"/>
    </mc:Choice>
  </mc:AlternateContent>
  <xr:revisionPtr revIDLastSave="0" documentId="13_ncr:1_{B9449E77-B29E-449D-A6D8-BCC20991253E}" xr6:coauthVersionLast="36" xr6:coauthVersionMax="36" xr10:uidLastSave="{00000000-0000-0000-0000-000000000000}"/>
  <bookViews>
    <workbookView xWindow="0" yWindow="0" windowWidth="11655" windowHeight="4005" activeTab="1" xr2:uid="{00000000-000D-0000-FFFF-FFFF00000000}"/>
  </bookViews>
  <sheets>
    <sheet name="Portada" sheetId="2" r:id="rId1"/>
    <sheet name="Seguimiento PAI 4to trimestre" sheetId="1" r:id="rId2"/>
  </sheets>
  <definedNames>
    <definedName name="_xlnm.Print_Area" localSheetId="1">'Seguimiento PAI 4to trimestre'!$A$1:$O$76</definedName>
    <definedName name="_xlnm.Print_Titles" localSheetId="1">'Seguimiento PAI 4to trimestre'!$1:$9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L11" i="1" l="1"/>
  <c r="M67" i="1" l="1"/>
  <c r="N67" i="1" s="1"/>
  <c r="M62" i="1"/>
  <c r="N62" i="1" s="1"/>
  <c r="M59" i="1"/>
  <c r="M60" i="1"/>
  <c r="N60" i="1" s="1"/>
  <c r="M61" i="1"/>
  <c r="N61" i="1" s="1"/>
  <c r="M63" i="1"/>
  <c r="N63" i="1" s="1"/>
  <c r="M64" i="1"/>
  <c r="N64" i="1" s="1"/>
  <c r="M65" i="1"/>
  <c r="N65" i="1" s="1"/>
  <c r="M66" i="1"/>
  <c r="N66" i="1" s="1"/>
  <c r="M68" i="1"/>
  <c r="N68" i="1" s="1"/>
  <c r="M69" i="1"/>
  <c r="N69" i="1" s="1"/>
  <c r="M58" i="1"/>
  <c r="N58" i="1" s="1"/>
  <c r="N51" i="1"/>
  <c r="N55" i="1"/>
  <c r="M51" i="1"/>
  <c r="M52" i="1"/>
  <c r="N52" i="1" s="1"/>
  <c r="M53" i="1"/>
  <c r="N53" i="1" s="1"/>
  <c r="M54" i="1"/>
  <c r="N54" i="1" s="1"/>
  <c r="M55" i="1"/>
  <c r="M56" i="1"/>
  <c r="N56" i="1" s="1"/>
  <c r="M57" i="1"/>
  <c r="N57" i="1" s="1"/>
  <c r="N59" i="1"/>
  <c r="M50" i="1"/>
  <c r="N50" i="1" s="1"/>
  <c r="J47" i="1" l="1"/>
  <c r="L47" i="1" s="1"/>
  <c r="M47" i="1" s="1"/>
  <c r="N47" i="1" s="1"/>
  <c r="M42" i="1" l="1"/>
  <c r="N42" i="1" s="1"/>
  <c r="M43" i="1"/>
  <c r="N43" i="1" s="1"/>
  <c r="J16" i="1" l="1"/>
  <c r="L16" i="1" s="1"/>
  <c r="M16" i="1" s="1"/>
  <c r="L71" i="1"/>
  <c r="M71" i="1" s="1"/>
  <c r="N71" i="1" s="1"/>
  <c r="L72" i="1"/>
  <c r="M72" i="1" s="1"/>
  <c r="N72" i="1" s="1"/>
  <c r="H24" i="1"/>
  <c r="J24" i="1" s="1"/>
  <c r="L24" i="1" s="1"/>
  <c r="L20" i="1" l="1"/>
  <c r="L19" i="1" l="1"/>
  <c r="M19" i="1" s="1"/>
  <c r="N19" i="1" s="1"/>
  <c r="M15" i="1" l="1"/>
  <c r="N15" i="1" s="1"/>
  <c r="M14" i="1"/>
  <c r="N14" i="1" s="1"/>
  <c r="M13" i="1"/>
  <c r="N13" i="1" s="1"/>
  <c r="M12" i="1" l="1"/>
  <c r="N12" i="1" s="1"/>
  <c r="M41" i="1" l="1"/>
  <c r="N41" i="1" s="1"/>
  <c r="M40" i="1"/>
  <c r="N40" i="1" s="1"/>
  <c r="M38" i="1" l="1"/>
  <c r="N38" i="1" s="1"/>
  <c r="M39" i="1" l="1"/>
  <c r="N39" i="1" s="1"/>
  <c r="L37" i="1"/>
  <c r="M37" i="1" s="1"/>
  <c r="N37" i="1" s="1"/>
  <c r="M36" i="1" l="1"/>
  <c r="N36" i="1" s="1"/>
  <c r="M35" i="1"/>
  <c r="N35" i="1" s="1"/>
  <c r="M34" i="1"/>
  <c r="N34" i="1" s="1"/>
  <c r="L33" i="1" l="1"/>
  <c r="M33" i="1" s="1"/>
  <c r="N33" i="1" s="1"/>
  <c r="M32" i="1"/>
  <c r="N32" i="1" s="1"/>
  <c r="J31" i="1" l="1"/>
  <c r="L31" i="1" s="1"/>
  <c r="M31" i="1" s="1"/>
  <c r="N31" i="1" s="1"/>
  <c r="J30" i="1" l="1"/>
  <c r="M30" i="1" l="1"/>
  <c r="L30" i="1"/>
  <c r="M28" i="1"/>
  <c r="N28" i="1" s="1"/>
  <c r="M26" i="1" l="1"/>
  <c r="N26" i="1" s="1"/>
  <c r="J23" i="1" l="1"/>
  <c r="L23" i="1" s="1"/>
  <c r="M23" i="1" s="1"/>
  <c r="N23" i="1" s="1"/>
  <c r="M20" i="1" l="1"/>
  <c r="N20" i="1" s="1"/>
  <c r="J18" i="1" l="1"/>
  <c r="L18" i="1" s="1"/>
  <c r="M18" i="1" s="1"/>
  <c r="N18" i="1" s="1"/>
  <c r="M48" i="1" l="1"/>
  <c r="N48" i="1" s="1"/>
  <c r="M49" i="1"/>
  <c r="N49" i="1" s="1"/>
  <c r="M46" i="1" l="1"/>
  <c r="N46" i="1" s="1"/>
  <c r="J11" i="1" l="1"/>
  <c r="M11" i="1" s="1"/>
  <c r="N11" i="1" s="1"/>
  <c r="N16" i="1" l="1"/>
  <c r="M24" i="1" l="1"/>
  <c r="N24" i="1" s="1"/>
  <c r="H70" i="1" l="1"/>
  <c r="J70" i="1" s="1"/>
  <c r="L70" i="1" s="1"/>
  <c r="M70" i="1" s="1"/>
  <c r="N70" i="1" s="1"/>
  <c r="J21" i="1" l="1"/>
  <c r="L21" i="1" s="1"/>
  <c r="M21" i="1" s="1"/>
  <c r="N21" i="1" s="1"/>
  <c r="M22" i="1" l="1"/>
  <c r="N22" i="1" s="1"/>
  <c r="H27" i="1" l="1"/>
  <c r="J27" i="1" s="1"/>
  <c r="L27" i="1" s="1"/>
  <c r="M27" i="1" s="1"/>
  <c r="N27" i="1" s="1"/>
  <c r="F29" i="1" l="1"/>
  <c r="H29" i="1" s="1"/>
  <c r="J29" i="1" s="1"/>
  <c r="L29" i="1" s="1"/>
  <c r="M29" i="1" s="1"/>
  <c r="N29" i="1" s="1"/>
  <c r="H25" i="1" l="1"/>
  <c r="J25" i="1" s="1"/>
  <c r="L25" i="1" s="1"/>
  <c r="M25" i="1" s="1"/>
  <c r="N25" i="1" s="1"/>
  <c r="M45" i="1" l="1"/>
  <c r="N45" i="1" s="1"/>
  <c r="M44" i="1"/>
  <c r="N44" i="1" s="1"/>
  <c r="K30" i="1" l="1"/>
  <c r="N30" i="1" s="1"/>
  <c r="I30" i="1"/>
  <c r="G27" i="1"/>
</calcChain>
</file>

<file path=xl/sharedStrings.xml><?xml version="1.0" encoding="utf-8"?>
<sst xmlns="http://schemas.openxmlformats.org/spreadsheetml/2006/main" count="296" uniqueCount="171">
  <si>
    <t>Objetivo estratégico</t>
  </si>
  <si>
    <t>Programa estratégico</t>
  </si>
  <si>
    <t>Área responsable</t>
  </si>
  <si>
    <t>Mejorar la calidad y el impacto de la investigación y la transferencia de conocimiento y tecnología</t>
  </si>
  <si>
    <t>Formación de capital humano para la CTeI a nivel de Doctorado y Maestría</t>
  </si>
  <si>
    <t>Dirección de Fomento a la Investigación</t>
  </si>
  <si>
    <t>Incremento de la visibilidad e impacto de las publicaciones científicas colombianas</t>
  </si>
  <si>
    <t>Consolidación de modelos cienciométricos para los actores del SNCTI</t>
  </si>
  <si>
    <t>* Los resultados  de la meta estratégica son acumulados y reportados de acuerdo con la frecuencia de medición definida en la hoja de vida del indicador</t>
  </si>
  <si>
    <t xml:space="preserve">** Los resultados de la meta del programa se reportan de acuerdo a los tiempos establecidos en la planeación estratégica </t>
  </si>
  <si>
    <t>Avance de meta del programa **</t>
  </si>
  <si>
    <t>Fomento al desarrollo de programas y proyectos de generación de conocimiento en CTeI</t>
  </si>
  <si>
    <t>Promover el desarrollo tecnológico y la innovación como motor de crecimiento empresarial y del emprendimiento</t>
  </si>
  <si>
    <t>Alianzas para la Innovación</t>
  </si>
  <si>
    <t>Apoyo en I+D+i en el Sector Productivo</t>
  </si>
  <si>
    <t>Programa TIC</t>
  </si>
  <si>
    <t>Dirección de Desarrollo Tecnológico e Innovación</t>
  </si>
  <si>
    <t>Desarrollo de capacidades de transferencia tecnológica</t>
  </si>
  <si>
    <t>Brigada de patentes y fondo de protección de patentes</t>
  </si>
  <si>
    <t>Generar una cultura que valore y gestione el conocimiento y la innovación</t>
  </si>
  <si>
    <t>Centros de ciencia</t>
  </si>
  <si>
    <t>Atrévete (A Ciencia Cierta - Ideas para el Cambio)</t>
  </si>
  <si>
    <t>Difusión - (todo es ciencia)</t>
  </si>
  <si>
    <t>Dirección de Mentalidad y Cultura para la CTeI</t>
  </si>
  <si>
    <t>Ondas</t>
  </si>
  <si>
    <t>Articulación de oferta y demanda para recurso humano de alto nivel</t>
  </si>
  <si>
    <r>
      <rPr>
        <b/>
        <sz val="14"/>
        <color theme="1"/>
        <rFont val="Segoe UI"/>
        <family val="2"/>
      </rPr>
      <t>CÓDIGO:</t>
    </r>
    <r>
      <rPr>
        <sz val="14"/>
        <color theme="1"/>
        <rFont val="Segoe UI"/>
        <family val="2"/>
      </rPr>
      <t xml:space="preserve"> G101PR01F06</t>
    </r>
  </si>
  <si>
    <t>Meta anual del programa</t>
  </si>
  <si>
    <t>Resultados trimestrales meta programatica</t>
  </si>
  <si>
    <t>Meta T1</t>
  </si>
  <si>
    <t>Resultado T1</t>
  </si>
  <si>
    <t>Meta T2</t>
  </si>
  <si>
    <t>Resultado T2</t>
  </si>
  <si>
    <t>Meta T3</t>
  </si>
  <si>
    <t>Resultado T3</t>
  </si>
  <si>
    <t>Meta T4</t>
  </si>
  <si>
    <t>Resultado T4</t>
  </si>
  <si>
    <t xml:space="preserve">***No aplica. No se programa meta para el período por planeación de actividades.
</t>
  </si>
  <si>
    <t>**** Metodológicamente, se calcula de acuerdo a lo establecido en la  Guía de Planeación y Seguimiento Estratégico G101PR01G01 (publicada en GINA) Numeral 8.3.</t>
  </si>
  <si>
    <r>
      <rPr>
        <b/>
        <sz val="11"/>
        <color theme="1"/>
        <rFont val="Segoe UI"/>
        <family val="2"/>
      </rPr>
      <t>FECHA:</t>
    </r>
    <r>
      <rPr>
        <sz val="11"/>
        <color theme="1"/>
        <rFont val="Segoe UI"/>
        <family val="2"/>
      </rPr>
      <t xml:space="preserve"> 2017-11-01</t>
    </r>
  </si>
  <si>
    <r>
      <rPr>
        <b/>
        <sz val="11"/>
        <rFont val="Segoe UI"/>
        <family val="2"/>
      </rPr>
      <t xml:space="preserve">VERSIÓN: </t>
    </r>
    <r>
      <rPr>
        <sz val="11"/>
        <rFont val="Segoe UI"/>
        <family val="2"/>
      </rPr>
      <t>08</t>
    </r>
  </si>
  <si>
    <t>Sistemas de Innovación Empresarial</t>
  </si>
  <si>
    <t xml:space="preserve">Jóvenes investigadores </t>
  </si>
  <si>
    <r>
      <rPr>
        <b/>
        <sz val="11"/>
        <rFont val="Segoe UI"/>
        <family val="2"/>
      </rPr>
      <t xml:space="preserve">200 </t>
    </r>
    <r>
      <rPr>
        <sz val="11"/>
        <rFont val="Segoe UI"/>
        <family val="2"/>
      </rPr>
      <t>estancias posdoctorales</t>
    </r>
  </si>
  <si>
    <r>
      <t xml:space="preserve">Incremento del </t>
    </r>
    <r>
      <rPr>
        <b/>
        <sz val="11"/>
        <rFont val="Segoe UI"/>
        <family val="2"/>
      </rPr>
      <t>25%</t>
    </r>
    <r>
      <rPr>
        <sz val="11"/>
        <rFont val="Segoe UI"/>
        <family val="2"/>
      </rPr>
      <t xml:space="preserve"> del valor del H5 para las revistas nacionales indexadas</t>
    </r>
  </si>
  <si>
    <t>No aplica</t>
  </si>
  <si>
    <t>Beneficios Tributarios  para CTeI</t>
  </si>
  <si>
    <t>100% de asignación del cupo disponible para beneficios tributarios por inversión"</t>
  </si>
  <si>
    <t>150 empresas apoyadas empresas en procesos de innovación</t>
  </si>
  <si>
    <t>Pacto por la Innovación</t>
  </si>
  <si>
    <t>Diseño y evaluación de políticas de CTeI</t>
  </si>
  <si>
    <t>Desarrollo de capacidades para diseño y evaluación de políticas en los actores del Sistema Nacional</t>
  </si>
  <si>
    <t>Subdirección General</t>
  </si>
  <si>
    <t>80 empresas apoyadas empresas en procesos de innovación</t>
  </si>
  <si>
    <t>2 política CTeI aprobadas</t>
  </si>
  <si>
    <t>2 acciones de fortalecimiento de capacidades desarrolladas</t>
  </si>
  <si>
    <t>Capacidades para la formulación y estructuración de proyectos en CTeI</t>
  </si>
  <si>
    <t xml:space="preserve"> Fortalecer la viabilización y aprobación de proyectos formulados para ser financiados por el FCTeI</t>
  </si>
  <si>
    <t>33 departamentos que han hecho uso de las herramientas de apoyo a la estructuración de proyectos ofrecidas</t>
  </si>
  <si>
    <t>33  Planes y acuerdos acompañados</t>
  </si>
  <si>
    <t xml:space="preserve">
70% de recursos aprobados del FCTeI del SGR</t>
  </si>
  <si>
    <t>Participación en escenarios internacionales estratégicos con miras a promover el avance de la CTeI</t>
  </si>
  <si>
    <t>7 alianzas estratégicas internacionales en términos de recursos y capital político</t>
  </si>
  <si>
    <t>Promoción de la circulación de conocimiento y prácticas innovadoras en un escenario global</t>
  </si>
  <si>
    <t>18 Proyectos de investigación de CTeI fortalecidos mediante el apoyo a la movilidad académica</t>
  </si>
  <si>
    <t>Gestión Territorial</t>
  </si>
  <si>
    <t>Gestión de recursos técnicos y financieros de cooperación internacional para CTeI</t>
  </si>
  <si>
    <t>2 alianzas estratégicas internacionales en términos de recursos y capital político</t>
  </si>
  <si>
    <t>Desarrollar un sistema e institucionalidad habilitante para la CTeI</t>
  </si>
  <si>
    <t>Desarrollar proyectos estratégicos y de impacto en CTeI a través de la articulación de recursos de la nación, los departamentos y otros actores</t>
  </si>
  <si>
    <t>Generar vínculos entre los actores del SNCTI y actores internacionales estratégicos</t>
  </si>
  <si>
    <t>Equipo de Internacionalización</t>
  </si>
  <si>
    <t>Cultura y comunicación de cara al ciudadano</t>
  </si>
  <si>
    <t>85% de satisfacción de usuarios</t>
  </si>
  <si>
    <t>100% de cumplimiento de los requisitos de transparencia en Colciencias</t>
  </si>
  <si>
    <t>100% de cumplimiento de los requisitos de gobierno en línea en Colciencias</t>
  </si>
  <si>
    <t>Comunicamos lo que hacemos</t>
  </si>
  <si>
    <t xml:space="preserve">100% de programas estratégicos priorizados comunicados </t>
  </si>
  <si>
    <t xml:space="preserve">
100% de cumplimiento de los requisitos de transparencia en Colciencias</t>
  </si>
  <si>
    <t>100% de cumplimiento de los requisitos de GEL en Colciencias</t>
  </si>
  <si>
    <t xml:space="preserve">
2.208.400  personas sensibilizadas a través de estrategias enfocadas en el uso, apropiación y utilidad de la CTeI</t>
  </si>
  <si>
    <t>Talento humano competente, innovador y motivado</t>
  </si>
  <si>
    <t>3 puntos de incremento en la calificación de cultura organizacional</t>
  </si>
  <si>
    <t>Cero improvisación</t>
  </si>
  <si>
    <t>100% de oportunidad en el cumplimiento de fechas programadas para la formulación, seguimiento y evaluación de los planes institucionales</t>
  </si>
  <si>
    <t>100% de cumplimiento de los requisitos de transparencia en Colciencias - OAP</t>
  </si>
  <si>
    <t>100% de cumplimiento de los requisitos de gobierno en línea en Colciencias - OAP</t>
  </si>
  <si>
    <t>100% de cumplimiento de los requisitos de transparencia en Colciencias - Control Interno</t>
  </si>
  <si>
    <t>100% de cumplimiento de los requisitos de transparencia en Colciencias - SEGEL</t>
  </si>
  <si>
    <t>Más fácil, menos pasos</t>
  </si>
  <si>
    <t>65% nivel de madurez del Sistema de Gestión de Calidad</t>
  </si>
  <si>
    <t>Gestión documental</t>
  </si>
  <si>
    <t>100% implementación del Programa de Gestión Documental</t>
  </si>
  <si>
    <t>Colciencias sostenible para todos</t>
  </si>
  <si>
    <t>El Fondo Francisco José de Caldas (FFJC), instrumento efectivo en la canalización de recursos</t>
  </si>
  <si>
    <t>100% de optimización del proceso de contratación derivada del FFJC (integración MGI-ORFEO)</t>
  </si>
  <si>
    <t>Gestión e Infraestructura de TI</t>
  </si>
  <si>
    <t xml:space="preserve">100% de avance en el desarrollo del nuevo sistema integrado de información </t>
  </si>
  <si>
    <t>Colombia BIO</t>
  </si>
  <si>
    <t>250.000  nuevos registros de especies en el Global Biodiversity Information Facility (GBIF) aportadas por Colombia</t>
  </si>
  <si>
    <t xml:space="preserve">
9 expediciones</t>
  </si>
  <si>
    <t>Convertir a COLCIENCIAS en Ágil, Transparente y Moderna - ATM</t>
  </si>
  <si>
    <t>Propiciar condiciones para conocer valorar conservar y aprovechar nuestra biodiversidad</t>
  </si>
  <si>
    <t>Secretaría General</t>
  </si>
  <si>
    <t>Equipo de Comunicaciones</t>
  </si>
  <si>
    <t>Oficina Asesora de Planeación</t>
  </si>
  <si>
    <t>Oficina de Control Interno</t>
  </si>
  <si>
    <t>Dirección Administrativa y Financiera</t>
  </si>
  <si>
    <t>Oficina de Tecnología de Información</t>
  </si>
  <si>
    <t>Dirección General</t>
  </si>
  <si>
    <t>100% cumplimiento en la reducción de tiempos, requisitos o documentos en procedimientos seleccionados</t>
  </si>
  <si>
    <t>100% de avance en el plan de racionalización de trámites</t>
  </si>
  <si>
    <t xml:space="preserve">MATRIZ DE SEGUIMIENTO AL PLAN DE ACCIÓN INSTITUCIONAL </t>
  </si>
  <si>
    <t>Plan de Acción Institucional 2018</t>
  </si>
  <si>
    <t>%  de cumplimiento de meta del programa 2018****</t>
  </si>
  <si>
    <t>13 becas para la formación de maestría y doctorado nacional y exterior financiados por Colciencias y otras entidades</t>
  </si>
  <si>
    <t xml:space="preserve">
25 proyectos de investigación apoyados</t>
  </si>
  <si>
    <r>
      <rPr>
        <b/>
        <sz val="11"/>
        <rFont val="Segoe UI"/>
        <family val="2"/>
      </rPr>
      <t>13.400</t>
    </r>
    <r>
      <rPr>
        <sz val="11"/>
        <rFont val="Segoe UI"/>
        <family val="2"/>
      </rPr>
      <t xml:space="preserve"> artículos científicos publicados en revistas científicas especializadas por investigadores colombianos</t>
    </r>
  </si>
  <si>
    <r>
      <t xml:space="preserve">
</t>
    </r>
    <r>
      <rPr>
        <b/>
        <sz val="11"/>
        <rFont val="Segoe UI"/>
        <family val="2"/>
      </rPr>
      <t>1</t>
    </r>
    <r>
      <rPr>
        <sz val="11"/>
        <rFont val="Segoe UI"/>
        <family val="2"/>
      </rPr>
      <t xml:space="preserve">  modelo cienciométricos actualizado al SNCTI</t>
    </r>
  </si>
  <si>
    <r>
      <rPr>
        <b/>
        <sz val="11"/>
        <rFont val="Segoe UI"/>
        <family val="2"/>
      </rPr>
      <t xml:space="preserve">880 </t>
    </r>
    <r>
      <rPr>
        <sz val="11"/>
        <rFont val="Segoe UI"/>
        <family val="2"/>
      </rPr>
      <t>empresas apoyadas en procesos de innovación por Colciencias</t>
    </r>
  </si>
  <si>
    <r>
      <rPr>
        <b/>
        <sz val="11"/>
        <rFont val="Segoe UI"/>
        <family val="2"/>
      </rPr>
      <t>261</t>
    </r>
    <r>
      <rPr>
        <sz val="11"/>
        <rFont val="Segoe UI"/>
        <family val="2"/>
      </rPr>
      <t xml:space="preserve"> empresas apoyadas en procesos de innovación por Colciencias</t>
    </r>
  </si>
  <si>
    <r>
      <rPr>
        <b/>
        <sz val="11"/>
        <rFont val="Segoe UI"/>
        <family val="2"/>
      </rPr>
      <t>68</t>
    </r>
    <r>
      <rPr>
        <sz val="11"/>
        <rFont val="Segoe UI"/>
        <family val="2"/>
      </rPr>
      <t xml:space="preserve"> empresas apoyadas en procesos de innovación por Colciencias</t>
    </r>
  </si>
  <si>
    <r>
      <rPr>
        <b/>
        <sz val="11"/>
        <rFont val="Segoe UI"/>
        <family val="2"/>
      </rPr>
      <t xml:space="preserve">104 </t>
    </r>
    <r>
      <rPr>
        <sz val="11"/>
        <rFont val="Segoe UI"/>
        <family val="2"/>
      </rPr>
      <t>empresas apoyadas en procesos de innovación por Colciencias</t>
    </r>
  </si>
  <si>
    <r>
      <rPr>
        <b/>
        <sz val="11"/>
        <rFont val="Segoe UI"/>
        <family val="2"/>
      </rPr>
      <t xml:space="preserve">3.740 </t>
    </r>
    <r>
      <rPr>
        <sz val="11"/>
        <rFont val="Segoe UI"/>
        <family val="2"/>
      </rPr>
      <t>Personas sensibilizadas a través de estrategias enfocadas en el uso, apropiación y utilidad de la CTeI</t>
    </r>
  </si>
  <si>
    <r>
      <rPr>
        <b/>
        <sz val="11"/>
        <rFont val="Segoe UI"/>
        <family val="2"/>
      </rPr>
      <t xml:space="preserve">17 </t>
    </r>
    <r>
      <rPr>
        <sz val="11"/>
        <rFont val="Segoe UI"/>
        <family val="2"/>
      </rPr>
      <t>licenciamientos tecnológicos apoyados</t>
    </r>
  </si>
  <si>
    <r>
      <rPr>
        <b/>
        <sz val="11"/>
        <rFont val="Segoe UI"/>
        <family val="2"/>
      </rPr>
      <t xml:space="preserve">600 </t>
    </r>
    <r>
      <rPr>
        <sz val="11"/>
        <rFont val="Segoe UI"/>
        <family val="2"/>
      </rPr>
      <t>registros de patentes solicitadas por residentes en oficina nacional y PCT</t>
    </r>
  </si>
  <si>
    <r>
      <rPr>
        <b/>
        <sz val="11"/>
        <rFont val="Segoe UI"/>
        <family val="2"/>
      </rPr>
      <t>30.000</t>
    </r>
    <r>
      <rPr>
        <sz val="11"/>
        <rFont val="Segoe UI"/>
        <family val="2"/>
      </rPr>
      <t xml:space="preserve"> personas sensibilizadas a través de estrategias enfocadas en el uso, apropiación y utilidad de la CTeI</t>
    </r>
  </si>
  <si>
    <r>
      <rPr>
        <b/>
        <sz val="11"/>
        <rFont val="Segoe UI"/>
        <family val="2"/>
      </rPr>
      <t>100%</t>
    </r>
    <r>
      <rPr>
        <sz val="11"/>
        <rFont val="Segoe UI"/>
        <family val="2"/>
      </rPr>
      <t xml:space="preserve"> de cumplimiento de los requisitos de transparencia en Colciencias</t>
    </r>
  </si>
  <si>
    <r>
      <rPr>
        <b/>
        <sz val="11"/>
        <rFont val="Segoe UI"/>
        <family val="2"/>
      </rPr>
      <t xml:space="preserve"> 1.627.870 </t>
    </r>
    <r>
      <rPr>
        <sz val="11"/>
        <rFont val="Segoe UI"/>
        <family val="2"/>
      </rPr>
      <t>personas sensibilizadas a través de estrategias enfocadas en el uso, apropiación y utilidad de la CTeI</t>
    </r>
  </si>
  <si>
    <r>
      <rPr>
        <b/>
        <sz val="11"/>
        <rFont val="Segoe UI"/>
        <family val="2"/>
      </rPr>
      <t>193.000</t>
    </r>
    <r>
      <rPr>
        <sz val="11"/>
        <rFont val="Segoe UI"/>
        <family val="2"/>
      </rPr>
      <t xml:space="preserve"> niños y jóvenes apoyados en procesos de vocación científica</t>
    </r>
  </si>
  <si>
    <r>
      <rPr>
        <b/>
        <sz val="11"/>
        <rFont val="Segoe UI"/>
        <family val="2"/>
      </rPr>
      <t>5.753</t>
    </r>
    <r>
      <rPr>
        <sz val="11"/>
        <rFont val="Segoe UI"/>
        <family val="2"/>
      </rPr>
      <t xml:space="preserve"> niños y jóvenes apoyados en procesos de vocación científica</t>
    </r>
  </si>
  <si>
    <r>
      <t xml:space="preserve">Período de seguimiento: Cuarto </t>
    </r>
    <r>
      <rPr>
        <b/>
        <u/>
        <sz val="16"/>
        <rFont val="Segoe UI"/>
        <family val="2"/>
      </rPr>
      <t>trimestre de 2018</t>
    </r>
  </si>
  <si>
    <t>Resumen de la gestión a 31 de diciembre de 2018</t>
  </si>
  <si>
    <r>
      <t xml:space="preserve">A diciembre 31 de 2018, se han apoyado un total de 93 empresas apoyadas en procesos de innovación por cuenta de la gestión de las iniciativas del Programa TIC. Con esto se cumple el 82% de la meta establecida para la vigencia. El desglose por iniciativa estratégica se registra a continuación:
Se reportaron </t>
    </r>
    <r>
      <rPr>
        <b/>
        <i/>
        <sz val="11"/>
        <rFont val="Segoe UI"/>
        <family val="2"/>
      </rPr>
      <t>2 empresas en procesos de innovación</t>
    </r>
    <r>
      <rPr>
        <sz val="11"/>
        <rFont val="Segoe UI"/>
        <family val="2"/>
      </rPr>
      <t xml:space="preserve"> como producto del seguimiento a la contratación de la convocatoria para cofinanciar proyectos de investigación aplicada, desarrollo tecnológico e innovación con TIC en sectores estrategicos (agroindustria, salud, turismo, energía &amp; hidrocarburos, gobierno, justicia y defensa) orientados al mejoramiento de la productividad y competitividad del sector TIC.  
Para el caso del desarrollo del proyecto de"Incuba TI" desarrollado en tres ciudades de Colombia (Barranquilla, Medellín y Bogotá) , en el período analizado con el apoyo y acompañamiento de CREAME INCUBADORA DE EMPRESAS se dio la creación de</t>
    </r>
    <r>
      <rPr>
        <b/>
        <sz val="11"/>
        <rFont val="Segoe UI"/>
        <family val="2"/>
      </rPr>
      <t xml:space="preserve"> 11 nuevas empresas </t>
    </r>
    <r>
      <rPr>
        <sz val="11"/>
        <rFont val="Segoe UI"/>
        <family val="2"/>
      </rPr>
      <t xml:space="preserve">de la Industria TI para el cuarto trimestre del año 2018.
Con relación a la "Convocatoria para Seleccionar empresas TI para acompañar en la fase de Expansión", esta dió apertura el pasado 25  de julio y cerró el 16 de agosto. Los resultados dan cuenta un total de 262 registros, de las cuales 31 correspondieron a empresas.  Analizado el cumplimienton de los requisitos mínimos 21 empresas resultaron elegibles y 20 finalmente </t>
    </r>
    <r>
      <rPr>
        <b/>
        <i/>
        <sz val="11"/>
        <rFont val="Segoe UI"/>
        <family val="2"/>
      </rPr>
      <t>10 empresas apoyadas en procesos de innovación</t>
    </r>
    <r>
      <rPr>
        <sz val="11"/>
        <rFont val="Segoe UI"/>
        <family val="2"/>
      </rPr>
      <t xml:space="preserve">fueron seleccionadas ara recibir el acompañamiento, sobre una meta inicial de 7.
Respecto a la convocatoria para Selección de emprendedores de Apps.co que desarrollen soluciones tecnológicas en la fase de Oferta y Demanda, esta fue publica y abierta a través de página web el pasado 31 de mayo. El cierre  se llevó a cabo el 27 de junio. Se inscribieron 26 equipos para los 5 retos propuestos, equipos que debían cumplir a cabalidad los requisitos mínimos habilitantes para participar en la Hackathon virtual. Después de hacer el ejercicio de revisar, subsanar y evaluar los requisitos mínimos habilitantes para participar, se publicó el viernes 29 de junio el listado con los 10 equipos habilitados para participar. Es importante resaltar que el reto No. 1 no tuvo equipos habilitados debido a que no cumplieron con los requisitos mínimos, quedando desierto de esta manera.
Durante los días 5, 6 y 7 de julio se realizó la Hackathon virtual de Oferta y Demanda con los 10 equipos habilitados para desarrollar durante 64 horas una propuesta usable y funcional de una solución digital que responda a los 4 retos participantes. Durante los días 10 y 11 de julio se llevó a cabo la evaluación de las propuestas desarrolladas en la  Hackathon por un jurado integrado por expertos temáticos del sector productivo y el equipo técnico  y tecnológico que acompaña la fase de Oferta y Demanda de Apps.co - MinTIC. De este proceso quedaron seleccionados los 4 equipos, resultados que fueron publicados y notificados el 13 de julio. Con lo antes expuesto desde esta iniciativa se lograron apoyar </t>
    </r>
    <r>
      <rPr>
        <b/>
        <i/>
        <sz val="11"/>
        <rFont val="Segoe UI"/>
        <family val="2"/>
      </rPr>
      <t xml:space="preserve">4 empresas apoyados en procesos de innovación.
</t>
    </r>
    <r>
      <rPr>
        <sz val="11"/>
        <rFont val="Segoe UI"/>
        <family val="2"/>
      </rPr>
      <t>Frentre al fortalecimiento Cluster TI mediante la transferencia de un sistema de gestión de I+D+,  se apoyarón a</t>
    </r>
    <r>
      <rPr>
        <b/>
        <sz val="11"/>
        <rFont val="Segoe UI"/>
        <family val="2"/>
      </rPr>
      <t xml:space="preserve"> 58 empresas</t>
    </r>
    <r>
      <rPr>
        <sz val="11"/>
        <rFont val="Segoe UI"/>
        <family val="2"/>
      </rPr>
      <t xml:space="preserve"> TI en procesos de innovación con el apoyo de ocho (8) Cluster de la Industria TI, tales como Orinocotic, Parquesoft Tolima, CreaTIC, Parquesoft Quindío, Caribetic, Cetics, Pacifictic e Intersoftware.
Con relación a la convocatoria para la formación de ciudadanos en ciencia de datos, esta cerró el pasado 02 de marzo. Los resultados del primer y segundo corte, dieron cuenta de 171 y 159 elegibles del banco  definitivo y preliminar respectivo. El banco definitivo de la segundo corte, fue publicado el pasado 12 de abril de la vigencia. Desde este mes se inició con la formación de los beneficiarios. Los resultados se reflejan en </t>
    </r>
    <r>
      <rPr>
        <b/>
        <i/>
        <sz val="11"/>
        <rFont val="Segoe UI"/>
        <family val="2"/>
      </rPr>
      <t>200 personas sensibilizadas a través de estrategias enfocadas en el uso, apropiación y utilidad de la CTeI.</t>
    </r>
    <r>
      <rPr>
        <sz val="11"/>
        <rFont val="Segoe UI"/>
        <family val="2"/>
      </rPr>
      <t xml:space="preserve"> Este dato se reportan en el marco de la realizacion de talleres capacitaciones realizadas en universidades como: Universidad de los Andes (Bogotá), Javeriana (Barranquilla), EAFIT (Medellín) e ICESI (Cali).
</t>
    </r>
    <r>
      <rPr>
        <b/>
        <i/>
        <sz val="11"/>
        <rFont val="Segoe UI"/>
        <family val="2"/>
      </rPr>
      <t xml:space="preserve">
</t>
    </r>
    <r>
      <rPr>
        <sz val="11"/>
        <rFont val="Segoe UI"/>
        <family val="2"/>
      </rPr>
      <t xml:space="preserve">Frente a la ejecución y seguimiento de CEAS, durante el período analizado se  lograron los resultados previstos así </t>
    </r>
    <r>
      <rPr>
        <b/>
        <i/>
        <sz val="11"/>
        <rFont val="Segoe UI"/>
        <family val="2"/>
      </rPr>
      <t>13 becas para la formación maestría y doctorados nacional y exterio</t>
    </r>
    <r>
      <rPr>
        <sz val="11"/>
        <rFont val="Segoe UI"/>
        <family val="2"/>
      </rPr>
      <t>r.Este último da cuenta un número de becas todas en maestría nacional.</t>
    </r>
    <r>
      <rPr>
        <b/>
        <i/>
        <sz val="11"/>
        <rFont val="Segoe UI"/>
        <family val="2"/>
      </rPr>
      <t xml:space="preserve">
</t>
    </r>
    <r>
      <rPr>
        <i/>
        <sz val="11"/>
        <rFont val="Segoe UI"/>
        <family val="2"/>
      </rPr>
      <t xml:space="preserve">
</t>
    </r>
    <r>
      <rPr>
        <sz val="11"/>
        <rFont val="Segoe UI"/>
        <family val="2"/>
      </rPr>
      <t>Adicionalmente se lograron sensibilizar</t>
    </r>
    <r>
      <rPr>
        <b/>
        <sz val="11"/>
        <rFont val="Segoe UI"/>
        <family val="2"/>
      </rPr>
      <t xml:space="preserve"> 3348 personas</t>
    </r>
    <r>
      <rPr>
        <sz val="11"/>
        <rFont val="Segoe UI"/>
        <family val="2"/>
      </rPr>
      <t xml:space="preserve">  de las 3740 previstas para la vigencia 2018, la distribuición por iniciativa es la siguiente: 
`200 personas con cargo a la ejecución y eguimiento de CEAs.
400 personas  Formación Ciudadanos Ciencia de Datos 
2748  de la estrategia de  Formación especializada y certificación en competencias para desarrollo de tecnologías de información en la ciudad de Bogotá D.C.
Con lo anterior se lográ un cumplimiento del 90% de personas sensibilizadas de las 3740 previstas desde el programa TIC, el rezago se debe principalmente al número por debejo de lo planeado de las personas que  cumplieron requisitos de la invitación de formación especializada, que luego de su selección ene l marco del proyecto "Pinesa Digital" con el apoyo de Fedesoft lograron un otal de 2748 beneficiados.
</t>
    </r>
    <r>
      <rPr>
        <b/>
        <sz val="11"/>
        <rFont val="Segoe UI"/>
        <family val="2"/>
      </rPr>
      <t xml:space="preserve">Recomendación/Evaluación
</t>
    </r>
    <r>
      <rPr>
        <sz val="11"/>
        <rFont val="Segoe UI"/>
        <family val="2"/>
      </rPr>
      <t>Es enecesario replantaer si l para la vigencia 2019, es necesario la creación deun programa estratégico específico para el Programa Nacional de TIC. En esa línea se podría fusionar las líneas estratégicas que integran las iniciativas asociados apoyos de proyectos de I+D+i.</t>
    </r>
  </si>
  <si>
    <r>
      <t xml:space="preserve">En el período se reportaron desde la Superintendencia de Industria y Comercio (SIC) un total de 295 registros de patentes solicitadas por residentes en oficina nacional y PCT. Vale señalar que el dato registrado es preliminar con corte a octubre dado los tiempos de entrega del informe emitido por la SIC.
También se señala que los resultados del indicador, dan cuenta de esfuerzo conjunto entre Colciencias y la SIC y su comportamiento depende de  la demanda de solicitudes por parte de los actores del SNCTeI. Adicionalmente, hay que  tener en cuenta que la  SIC recibe información adicional sobre la cual Colciencias no tiene gestión directa, lo que dificulta estimaciones o proyecciones de metas. 
Por lo que refiere a la convocatoria para apoyar el alistamiento y la presentación de patentes por las vías nacional e internacional, en el período analizado y teniendo en cuenta que la convocatoria tuvo una fecha de apertura en el tercer trimestre del año y por ende su cierre definitivo se dio en el mes de octubre y el proceso de contratación inició en el mes de noviembre no fue posible adelantar la radicación de estas invenciones en el año 2018, porque los aliados técnico-jurídicos requieren de cuatro meses para el proceso, es decir, que el resultado de esta convocatoria se verá el primer semestre de 2019.
Con relación a la Brigada de Patentes y Fondos Regionales de Fomento a la Protección de Invenciones, los aliados regionales de Bucaramanga, Barranquilla y Cali continúan adelantando acciones para lograr cerrar la ejecución de las estrategias en la región a través de la radicación de las últimas solicitudes ante la SIC. 
En lo que respecta al estudio de resultados e impacto de las solicitudes de patentes apoyadas por Colciencias,  finalizando junio se culminó la estructuración de la documentación de invitación. La invitación fue remitida el pasado 17 de julio y estuvo abierta hasta el 17 de agosto. Se recibieron cuatro propuestas que se encuentran en fase de evaluación: a) Universidad Nacional de Colombia, b) Colegio Mayor de Nuestra Señora del Rosario - Universidad del Rosario, c) Innventa y d) Observatorio Colombiano de Ciencia y Tecnología: OCyT.
Teniendo en cuenta que la convocatoria tuvo una fecha de apertura en el tercer trimestre del año y por ende su cierre definitivo se dio en el mes de octubre y el proceso de contratación inició en el mes de noviembre no es posible adelantar la radicación de estas invenciones en el año 2018, porque los aliados técnico-jurídicos requieren de cuatro meses para el proceso, es decir, que el resultado de esta convocatoria se verá el primer semestre de 2019.
Frente a l estudio de Propiedad Intelectual, este se llevará a cabo en el año 2019, teniendo en cuenta que la demanda de las tres convocatorias que gestionó el equipo de Propiedad Intelectua  el cual l arroja importantes resultados para el indicador de patentes en la Entidad, de tal manera que contar con los datos generados en el año 2018, sería posible determinar el impacto completo del cuatrienio que termina, recopilando la totalidad de los datos de este indicador. Por esta razón no se contrató, ni desarrolló el estudio en el año 2018, de acuerdo con lo planeado.
En cuanto al trámite de contratación se deja en el año 2018 terminado el proceso de evaluación y  selección de la Entidad a cargo de desarrollar el estudio en el año 2018, tratándose del Observatorio Colombiano de Ciencia y Tecnología – OCyT. La aprobación de la contratación de este estudio ya fue aprobado en primera instancia por parte del Comité de Dirección Técnica, el día 28 de diciembre de 2018.
</t>
    </r>
    <r>
      <rPr>
        <b/>
        <sz val="11"/>
        <rFont val="Segoe UI"/>
        <family val="2"/>
      </rPr>
      <t xml:space="preserve">Evaluación/Recomendación
</t>
    </r>
    <r>
      <rPr>
        <sz val="11"/>
        <rFont val="Segoe UI"/>
        <family val="2"/>
      </rPr>
      <t>Este indicador ha sido determinante para evidenciar los avances en temas de propiedad intelectual en el país. En lo que lleva del cuatrienio se ha multiplicadopor 4, las solicitudes de registros de patentes han pasado 123 en 2010 a 2017 en 595.No obstante, el comportamiento del indicador en 2018  ha presentado resultados menores a los esperados. Para cierre de 2018, es importante determinar los resultados de las estrategias asociados al programa de Brigada de Patentes y Fondo de Protección de Patentes, de cara a los lineamientos del Gobierno establecidos en el nuevo Plan Nacional de Desarrollo 2018-2022.</t>
    </r>
  </si>
  <si>
    <r>
      <t xml:space="preserve">A 31 de diciembre de 2018, frente a la convocatoria de Fortalecimiento en la producción de proyectos museológicos para la Apropiación Social de CTeI desarrollados por Centros de Ciencia,  se dió apertura a esta convocatoria en el mes de abril y tuvo cierre el 14 de junio pasado. Se publicaron resultados de banco de financiables el 30 de agosto con un toal de 6 propuestas por un valor $876.832.554 entre las que se encuentran: Universidad Autonoma de Bucaramanga, Universidad Nacional sede Bogotá y Sede Medellín, Jardín Botánica de Medellín, Parque Explora y Universidad del Bosque. En el marco de la convocatoria de Centros de Ciencia , a través de la cual  se acompañaron proyectos financiados con recursos de las regalias, el Centro de Ciencia Francisco José de Caldas fue el que logró hacer reporte de personas sensibilizadas con </t>
    </r>
    <r>
      <rPr>
        <b/>
        <sz val="11"/>
        <rFont val="Segoe UI"/>
        <family val="2"/>
      </rPr>
      <t>26.148</t>
    </r>
    <r>
      <rPr>
        <sz val="11"/>
        <rFont val="Segoe UI"/>
        <family val="2"/>
      </rPr>
      <t xml:space="preserve">. Las demás entidades estuvieron en fases preparatorias de actividades o en procesos contractuales. 
Con relación a la gestión territorial de los Centros de Ciencia, en cuarto trimestre  se acompañaron las jornadas de asistencia técnica regional y verificación programadas por la Secretaría Técnica del Fondo de CTeI del Sistema General de Regalías para la Región Centro Sur, Llanos, Centro Oriente y Caribe. También se adelantaron seguimientos a los proyectos a los que se le hace acompañamiento técnico del SGR en donde se realizaron seguimientos virtuales y asistenciales para el fortalecimiento de los proyectos. Así mismo, se conceptuo al Proyecto BPIN 2017000100076 “Fortalecimiento de capacidades de gestión del riesgo a través de Apropiación Social de la Ciencia, la Tecnología y la Innovación en Cundinamarca.” el aporte brindado a este concepto fue desde la perspectiva museográfica.
En lo que respecta a las Comunidades de Centros de Ciencia, en el período analizado se llevó a cabo el segundo encuentro nacional de Centros de Ciencia, evento que busca socializar experiencias nacionales e internacionales  enfocadas en museología para CTeI con enfoque social y participativo para así favorecer las prácticas museológicas y museográficas, con el objetivo de evidenciar a los Centros de Ciencia como agentes de cambio. La invitación al encuentro estuvo dirigida a museos de ciencia, jardínes botánicos, planetarios, zoológicos, centros interactivos, museos universitarios, formuladores de proyectos financiados por el Fondo General de Regalias y, en general, entidades interesadas en el desarrollo de programas y actividades para la ASCTI. También fueron invitados museólogos, museógrafos, investigadores y otras personas interesadas en temas de apropiación. El encuentro nacional contó con la asistencia de 73 personas que representaron a 31 instituciones de los departamentos de Antioquia (Medellín), Atlántico (Barranquilla), Caldas (Manizales), Cundinamarca (Bogotá), Huila (Neiva), Meta (Villavicencio), Quindío (Armenia), Risaralda (Pereira), Valle del Cauca (Cali).  Aproximadamente el 49% de los participantes  son pertenecientes al departamento de Caldas. Esta cifra permite pensar que, aunque desde Colciencias se han venido haciendo esfuerzos importantes, es necesario seguir trabajando para favorecer la participación y propiciar el relacionamiento continuo con entidades de otras regiones del país, lo cual se puede lograr mediante el desarrollo de encuentros como estos en todo el territorio nacional o creando actividades alternativas a los encuentros que permitan mantener activo el gremio.Se concluye que es necesario tener un contacto cercano con los Centros de Ciencia para mantener activo el sector, de acuerdo a los resultados del segundo encuentro se propone para el 2019 un programa de formación para fortalecer las capacidades en los Centros de Ciencia.
En cuanto al fortalecimiento de la relación entre Centros de Ciencia y el Sector Privado, se realizó un avance técnico con el fin de describir las necesidades sectoriales a la luz de beneficios tributarios para la realización de un convenio en II semestre 2018. Se estructuró una propuesta de una ruta de acción para el acercamiento en dos momentos: 1. Acercamiento entre los centros de ciencia y los diferentes actores de SNCTeI para fortalecer su relación con ellos y lograr articular productos que permitan el trabajo en conjunto entre los actores. 2. Acercamiento entre los Centros de Ciencia y las empresas privadas desde la promoción de la elaboración de exposiciones para la obtención de beneficios triburarios. A cierre de 2018, se encuentra en proceso de de realización de contrato.
</t>
    </r>
    <r>
      <rPr>
        <b/>
        <sz val="11"/>
        <rFont val="Segoe UI"/>
        <family val="2"/>
      </rPr>
      <t>Evaluación/Recomendación</t>
    </r>
    <r>
      <rPr>
        <sz val="11"/>
        <rFont val="Segoe UI"/>
        <family val="2"/>
      </rPr>
      <t xml:space="preserve">
El cumplimiento del total de las personas sesnsibilizadas del Programa Estratégico se concentran en la iniciativa para "El Fortalecimiento en la producción de proyectos museológicos para la Apropiación Social de CTeI desarrollados por Centros de Ciencia" en cuarto trimestre de 2018.  Aunque se adelantaron las gestiones para que la convocatoria 815-2018 generara un banco de financiables, los cuales priorizará los mejores proyectos que realicen propuestas para incentivar la participación activa de los distintos actores sociales a partir del diálogo de saberes teniendo en cuenta tendencias como la museología crítica, la nueva museología o la museología social, es importante monitorear que las personas sensibilizadas efectivamente puedan ser reportadas en 2018.
</t>
    </r>
  </si>
  <si>
    <r>
      <t>Acuarto trimestre de la vigencia, se reportaron</t>
    </r>
    <r>
      <rPr>
        <b/>
        <sz val="11"/>
        <rFont val="Segoe UI"/>
        <family val="2"/>
      </rPr>
      <t xml:space="preserve"> 204.285 personas sensibilizadas</t>
    </r>
    <r>
      <rPr>
        <sz val="11"/>
        <rFont val="Segoe UI"/>
        <family val="2"/>
      </rPr>
      <t xml:space="preserve"> a través de las iniciativas de Convocatoria de Ideas para el Cambio,  Encuentro Nacional de Ideas para el cambio, A Ciencia Cierta y Proyectos Especiales, alcanzando así la meta establecida para la vigencia. Se cumple la meta, debido a  la movilización de contenidos de ciencia y tecnología a través de la interacción que tuvieron los ciudadanos con las plataformas de Ideas para el Cambio y A Ciencia Cierta. Dado que en particular con A Ciencia Cierta, en 2018 se realizó el Concurso A Ciencia Cierta ECO en alianza con el Programa de Pequeñas Donaciones del GEF, esto generó una gran movilización social, a partir de una estrategia de comunicaciones digital que logró que ciudadanos interactuaran e incluso contribuyeran con su voto en la priorización de experiencias para ser fortalecidas a través de la Apropiación Social de CTeI.
Al respecto de las entidades seleccionadas para soluciones de Ciencia y TIC para la PAZ se realizaron diez mesas de técnicas de trabajo con los proponentes seleccionados en la convocatoria y las comunidades participantes en la cuales se alinearon expectativas, alcances y ajustes de acuerdo con lo establecido en los términos de referencia. Se inició el proceso de contratación de las entidades proponentes. Debido a esta razón no se cuenta aún con los planes los planes operativos, de ejecución presupuestal y de apropiación social, sin embargo, las entidades tienen avanzados estos documentos.
Con relación al Concurso "A Ciencia Cierta 4ta versión",  este dió apertura a finales del mes de junio de la vigencia y cerró la plataforma para la postulación de experiencias el pasdo 21 de agosto. Los resultados dan cuenta de 90 experiencias que cumplieron requisitos , de las cuales 71 luego de la etapa de subsanación continuaron a la etapa de evaluación  por expertos. Al cierre de la fase de votación se registraron 27.117 votos, se elaboró el acta de cierre de votación pública (acta No. 8), los votos recibidos pasaron a proceso de verificación, en el que se encuentró que 5.978 fueron inválidos y 21.139 válidos. A partir de los reultados, se iniciaron los encuentros locales con una duración de dos días, el primero para conocer las experiencias en terreno, verificar que corresponden al propósito del programa y definir los objetivos específicos del proyecto de fortalecimiento de ciencia, tecnología e innovación, para esto se invitó al encuentro a los miembros de cada comunidad, a entidades del territorio relacionados con el tema del fortalecimiento, miembros del sistema nacional de CTeI prioritariamente de la región para que se vinculen al fortalecimiento a manera de padrino/madrina tecnológica, así como otros actores relacionados o de interés para procurar entre todos aunar esfuerzos para beneficiar a las comunidades de manera coordinada e integral.
A partir del éxito de esta iniciativa, se postuló el concurso al Premio de Servicio Público de las Naciones Unidas, cuyo propósito es premiar los logros creativos y las contribuciones de las instituciones de servicio público que conducen a una administración pública más eficaz y sensible en los países de todo el mundo.
Frente a proyectos especiales, en el trimestre se presentó y aprobó el proyecto entre comunidades indígenas del Cauca y una institución de educación superior, para el desarrollo de procesos de apropiación social de CTeI. El proyecto se formalizó a través de un convenio enmarcado en lo establecido en la Comisión Mixta de Mesa de Comunicaciones CRIC, la cual opera a propósito de la Minga 2017 y los acuerdos derivados de la misma el 4 de noviembre de 2017 entre el Gobierno Nacional y los Pueblos Indígenas, en la vereda Monterilla de Caldono, Cauca, Resguardo Las Mercedes, específicamente en los temas relacionados con el sector tecnologías de la información y las comunicaciones, se define entre el CRIC y el Instituto de Estudios y Relaciones Internacionales IEPRI de la Universidad Nacional de Colombia, el proyecto denominado Observatorio de Medios CRIC-IEPRI, con el fin de estudiar y definir la manera adecuada de interrelacionarse desde la información que se genera desde las comunidades indígenas y los medios de comunicación, para que se facilite su adecuada interpretación y emisión de la misma hacia el resto de la sociedad colombiana. Frente a este proyecto se realiza el taller de concertación en Popayán en el que se afinan las fases del proyecto, definen responsabilidades de las partes que intervienen en el mismo, se ajusta el cronograma, definen las principales actividades a diseñar e implementar. En el mes de septiembre, El director del proyecto en el IEPRI y el Consejo Regional Indígena del Cauca, definieron programación de talleres, contenidos, invitados con líderes sociales y otro con periodistas, cuyo desarrolló se dió el 8 y 9 de octubre. El IEPRI elaboró informe final, este se encuentran para evaluación y concepto.
En lo que refiere a la actualización de la Estrategia Nacional de Apropiación Social de CTeI, en el período se avanzó en el diseño del primer encuentro para la actualización de la Estrategia Nacional de Apropiación Social de CTeI para la zona centro realizada el pasado 12 de julio en las instalaciones de Colciencias. En alianza con la Corporación Maloka, se realizó la primera entrega del documento Balance de los ocho años de implementación de la Estrategia Nacional de ASCTI. Así mismo, se ha venido efectuando el ejercicio de análisis de los productos reportados por grupos de investigación e investigadores del país con relación a la Apropiación Social del Conocimiento.  En cuarto trimestre, se inició la cuarta fase de la ruta metodológica propuesta para la actualización de la Estrategia Nacional de ASCTI. Esta etapa contempla la consolidación de todos los insumos (talleres regionales, estrategia virtual, resultados Grupo Asesor, balance de ASCTI) para iniciar con el proceso de co-escritura del documento actualizado. 
Con relación al Redimensionamiento del CENDOC, a partir del diagnóstico y redimensionamiento, se revisó el Plan estratégico ,  el plan operativo y la  hoja de ruta y el cronograma de actividades establecido en su momento    con el fin actualizarlo de acuerdo con   las nuevas realidades actuales  como son  la incorporación  de los  compromisos institucionales a nivel internacional ( LA Referencia)    y las necesidades de  visibilizar  los productos y resultados de la información científica ,  Así  mismo  conectar los mismos  con la guía  de medición  de resultados  de investigación.  Y articular el proyecto con la política de ciencia abierta; específicamente con lo relacionado con acceso y datos abierto de investigación.
</t>
    </r>
    <r>
      <rPr>
        <b/>
        <sz val="11"/>
        <rFont val="Segoe UI"/>
        <family val="2"/>
      </rPr>
      <t xml:space="preserve"> Evaluación/Recomendación
</t>
    </r>
    <r>
      <rPr>
        <sz val="11"/>
        <rFont val="Segoe UI"/>
        <family val="2"/>
      </rPr>
      <t>El programa estratégico proyecto unos metas por iniciativa que sumaban un total de 30.000 personas sensibilizadas para la vigencia 2018. No obstante históricamente "Atrévete"ha superado de manera significativamente las metas plantedas sobre todo en las iniciativas relacionadas con los concursos de "Ideas para el Cambio" y "A Ciencia Cierta". En esa línea es importante que desde la DMC / Grupo de Apropiación Social se revisen los comportamientos históricos en las participaciones en las votaciones de  las experiencias, de manera que les sirva para proyectar las metas para los próximos años.</t>
    </r>
  </si>
  <si>
    <r>
      <t>A cuarto trimestre  de 2018, se reportan 1.795.744  personas sensibilizadas a través de estrategias enfocadas en el uso, apropiación y utilidad, por cuenta de las iniciativas de Contenidos Multiformato (1.377.734) , Activaciones Regionales (113.969) , Estrategia Digital TEC (304.041). Con esta cifra se logra en un 100% de cumplimiento respecto a la meta para el período.
Durante el IV trimestre dentro del componente de contenidos multiformato se realizó el estreno en televisión pública de los documentales Colombia Bio en los canales aliados Canal Trece y Señal Colombia, de forma paralela a la proyección de los documentales en distintos espacios culturales como la Cinemateca Distrital y el Goethe Institut. Así mismo, las nuevas temporadas de las series documentales Fórmulas de Cambio, Perfilados y Ruta de Ciencia fueron emitidas en Canal TRO y Canal Trece; siendo Canal Trece el prinicipal aliado en el estreno de las series producidas de la mano con SENA. Estas actividades dejan un total acumulado de 1.377.734 personas sensibilizadas.
Frente a la i niciativa de Activaciones Regionales, al cuarto trimestres de 2018 se sensibilizaron 113.969 personas a través las estrategias de Ruta de la Ciencia y Mujeres Ciencia.  De este dato de personas sensibilizadas, 4.077 corresponde a asistentes a los eventos desarrollados y 109.892 corresponde a las visualizaciones de los productos audiovisuales derivados de estos. particularmente de octubre a dciembrre de 2018, de la estrategia Todo es Ciencia, ha logrado convocar presencialmente en el cuarto trimestre del año a 962 jóvenes en siete eventos y cuatro diferentes regiones del país. Durante este periodo, se ejecutaron tres Rutas de la Ciencia correspondientes a la edición realizada en conjunto con el SENA, dos Rutas de la Ciencia posteriores al convenio con SENA (realizadas en el marco de Expociencia y del concurso Cracks de la Ciencia del programa Ondas, respectivamente) y dos eventos de pilotaje para una nueva activación regional denominado MujerEs Ciencia.  Las regiones sensibilizadas en este trimestre fueron Bogotá (cuatro jornadas), Medellín (una jornada), Rionegro (una jornada) y San Juan del Cesar en la Guajira (una jornada). En cada una de estas activaciones, los seleccionados para contar su historia de vida fueron talentos SENA, speakers gestionadas a través de la Asociación Colombiana para el Avance de la Ciencia y un personaje gestionado por el programa Ondas.</t>
    </r>
    <r>
      <rPr>
        <sz val="11"/>
        <color rgb="FFFF0000"/>
        <rFont val="Segoe UI"/>
        <family val="2"/>
      </rPr>
      <t xml:space="preserve">
</t>
    </r>
    <r>
      <rPr>
        <sz val="11"/>
        <rFont val="Segoe UI"/>
        <family val="2"/>
      </rPr>
      <t xml:space="preserve">
Con relación a l número de personas sensibilizadas acumuladas reportadas en el Cuarto Trimestre por la Estrategia Digital de Todo Es Ciencia, está arrojo un total de 304.041 personas, cuyos resultados fueron menores alos esperados desde este componente (350.000), esta situación a raíz de cambios en los algoritomos de medición de audiencias por parte de Facebook que llevaron a modificaciones en las cifras reportadas.
</t>
    </r>
    <r>
      <rPr>
        <b/>
        <sz val="11"/>
        <rFont val="Segoe UI"/>
        <family val="2"/>
      </rPr>
      <t xml:space="preserve">Evaluación/Recomendación
</t>
    </r>
    <r>
      <rPr>
        <sz val="11"/>
        <rFont val="Segoe UI"/>
        <family val="2"/>
      </rPr>
      <t>Teniendo en cuenta el alcance del indicador de personas sensibilizadas, es necesario revisar metodológicamente para los próximas vigencias (si se decide continuar con esta métrica) depurar las estrategias que contarán, dada la línea base alcanzada durante el cuatrienio 2015-2018.</t>
    </r>
  </si>
  <si>
    <r>
      <t xml:space="preserve">A cuarto trimestre de 2018, se registraron un total de 147.083 473 niños y jóvenes apoyados en procesos de vocación científica, logrando así el  76% de la meta configurada para la vigencia. La cifra reportada hace parte las actvidades realizadas desde la iniciativa de gestión territorial del Programa Ondas (73.738) y Proyectos Especiales (73.345) . Desde el frente de Gestión Territorial  cual se realizó del acompañamiento a los departamentos y entidades aliadas para la formulación de propuestas de implementación del programa Ondas. Asimismo, se continuó con el proceso de acompañamiento a regiones que se encuentran en implementación del programa a través de  diversos medios, especificamente a los departamentos de Antioquia, Atlántico, Boyacá, Huila, Risaralda, Santander y la región de Urabá, con un total acumulado para este año 2018 de 73.738 niños, niñas y adolescentes vinculados al Programa Ondas en Regiones.
Frente a proyectos Especiales, en el período analizado se implementó la estrategia de activación de niños, niñas y adolescentes "Cracks de la Ciencia", a través de la cual se lograron 10 grupos finalistas para su participación del encuentro nacioanl "Yoamo la Ciencia".En esa línea, con el objetivo de aumentar la disponibilidad de entrenadores formados en protocolos científicos y actividades de aprendizaje en el marco del programa GLOBE en Colombia que permita apoyar los procesos de vocación científica y tecnológica en niños, niñas y adolescentes, el pasado 27 y 28 de noviembre se realizó en Chía, Cundinamarca el taller de formación de entrenadores en las áreas de investigación de atmosfera e hidrosfera con la participación de 15 maestros del programa GLOBE de los departamentos de Antioquia, Atlántico, Bolívar, Cundinamarca, Huila y Valle del Cauca. El taller que fue dirigido por las Master Trainers internacionales Marta Kingsland de Argentina y Andrea Ventoso de Uruguay.
Con relación a la estrategia de fortalecimiento Ondas, durante el año 2018  el Programa Ondas participó en 10 espacios o ferias internacionales de ciencia y tecnología, con la representación de doce (12) grupos de investigación, diez (10) jóvenes Ondas y un (1) maestro en Sakura Science Program. Sumado a esto, se desarrollaron tres (3) Encuentros Regionales Ondas “Yo amo la ciencia” 2018, con la participación de 90 grupos de investigación Ondas, 120 niños, niñas y jóvenes y 90 maestros(as) coinvestigadores. Se cerro el año con el desarrollo del VIII Encuentro Nacional Ondas “Yo amo la ciencia” 2018, celebrado en la ciudad de Bogotá. Participaron 51 grupos de investigación infantiles y juveniles, ciento veintitrés (123) niños, niñas y jóvenes y 61 maestros(as).
Frente a la implementación de la Comunidad Ondas, el primer trimestre se realizó el acompañamiento a las entidades territoriales en el uso de las plataformas (Comunidad y SIO), el desarrollo del proceso de contratación para el soporte, mantenimiento y sostenibilidad de las plataformas y el diseño de la estrategia de socialización y apropiación.
</t>
    </r>
    <r>
      <rPr>
        <b/>
        <sz val="11"/>
        <rFont val="Segoe UI"/>
        <family val="2"/>
      </rPr>
      <t xml:space="preserve">Evaluación/Recomendación
</t>
    </r>
    <r>
      <rPr>
        <sz val="11"/>
        <rFont val="Segoe UI"/>
        <family val="2"/>
      </rPr>
      <t>Desde la Oficina Asesora de Planeación , se han venido realizado las advertencias a la DMC, respecto al posible cumplimiento de la meta tanto de la vigencia como de cuatrienio. Es necesario que desde la Dirección se movilicen esfuerzos en este último trimestre que permitan lograr los compromisoss pactados al inicio de la vigencia. Así mismo, es importante señalar que dado el alcance del Programa Ondas y basados en los lineamientos del PND 2018-2022, es necesario incluir métricas de resultado en los distintos niveles de intervención del programa.</t>
    </r>
  </si>
  <si>
    <r>
      <t xml:space="preserve">Respecto al avance de niños y jóvenes apoyados en procesos de innovación, para el período analizado se registraron un total 235.639 Jóvenes en Procesos de Vocación Científica distribuidos por estrategia asÍ: 382 Convocatorias Tradicional Jóvenes Investigadores, 186 Alianza SENA, 254 Comunidad Jóvenes Investigadores, 26 Gestión Territorial, 6 Alianza pfizer SENA y 234.785 Mapeo Iniciativas País. Con esto se logra el 100% de la meta establecida para la cigencia. A continuación se detalla la gestión asociada:
Con relación a la Convocatoria Jóvenes Investigadores e Innovadores, en el período analizado se elaboró el Banco Final de Elegibles, conformado por 705 propuestas elegibles (Dentro del umbral de corte correspondiente a 76 puntos). El 27 de noviembre de 2018 se publicó mediante resolución 1458 de 2018. En el período comprendido entre el 1 y 31 de diciembre de 2018, se elaboró el Banco de Financiables de la Convocatoria 812 - 2018 Jóvenes Investigadores e Innovadores, conformado por 382 propuestas a financiar, las cuales cumplieron requisitos y surtieron el respectivo proceso de evaluación y decisión. El Banco fue publicado el 18 de diciembre de 2018 con la Resolución 1558 de 2018.
Respecto a la Convocatoria en Alianza con el  Sena, la publicación del Banco de financiables se realizó el 30 de octubre de 2018 mediante Resolución 1314 “Por la cual se amplía el Banco de Financiables de la Convocatoria 770 de 2016 – 2017 cuarto corte”. La publicación se realizó en la página web de la entidad. Se elaboraron 62 convenios con las entidades beneficiarias para la vinculación de </t>
    </r>
    <r>
      <rPr>
        <b/>
        <sz val="11"/>
        <rFont val="Segoe UI"/>
        <family val="2"/>
      </rPr>
      <t xml:space="preserve">186 </t>
    </r>
    <r>
      <rPr>
        <sz val="11"/>
        <rFont val="Segoe UI"/>
        <family val="2"/>
      </rPr>
      <t>jóvenes seleccionados como beneficiarios y financiables.
En lo que refiere  a Jóvenes Investogadores en Meidicina en el marco de la  alianza Fpizer, se elaboraron seis convenios con las entidades beneficiarias para la vinculación de los</t>
    </r>
    <r>
      <rPr>
        <b/>
        <sz val="11"/>
        <rFont val="Segoe UI"/>
        <family val="2"/>
      </rPr>
      <t xml:space="preserve"> 6 </t>
    </r>
    <r>
      <rPr>
        <sz val="11"/>
        <rFont val="Segoe UI"/>
        <family val="2"/>
      </rPr>
      <t>jóvenes seleccionados como beneficiarios y financiables. Una vez legalizados los convenios las entidades beneficiarias deben vincular a los jóvenes por un término de 12 meses.
Con relación al Sistema de Mapeo iniciativas de país, en el período analizado se definió la ruta metodológica a seguir para el mapeo de iniciativas de CTeI dirigidas a niños y jóvenes junto con la firma consultora "Sistemas Especializados de Información - SEI". Resultado de esto, a través del os informes realizados por la firma se registraron un total de</t>
    </r>
    <r>
      <rPr>
        <b/>
        <sz val="11"/>
        <rFont val="Segoe UI"/>
        <family val="2"/>
      </rPr>
      <t xml:space="preserve"> 234.785</t>
    </r>
    <r>
      <rPr>
        <sz val="11"/>
        <rFont val="Segoe UI"/>
        <family val="2"/>
      </rPr>
      <t xml:space="preserve"> jóvenes que hacen parte del proceso de Identificación y caracterización las iniciativas de Ciencia, Tecnología e Innovación (CTel) dirigidas a niños, adolescentes y jóvenes (NAJ) a partir de las distintas experiencias implementadas en el país por los actores del Sistema Nacional de Ciencia, Tecnología e Innovación.
Desde la estrategia de gestión territorial del programa jóvenes investigadores, en el período analizado 2018 se tenía previsto apoyar a 47 jóvenes en procesos de vocación científica y tecnológica a partir del trabajo realizado con los distintos Departamentos mediante la Gestión Territorial. Sin embargo, la meta se vio afectada principalmente por: 1 - La formulación de los proyectos y los trámites de aprobación que debieron surtir de los proyectos ante el OCAD tomaron más tiempo de lo previsto: 2 - La baja participación de los jóvenes en las convocatorias de Jóvenes Investigadores e Innovadores Guaviare y Cesar dificultaron el cumplimiento de la meta, por lo cual solo se apoyaron 26 jóvenes así: Cesar: 6 jóvenes, Guaviare: 2 jóvenes, Norte de Santander: 18 jóvenes.
En esa línea, durante la vigencia el trabajo del equipo técnico se centró en el acompañamiento en la formulación de los proyectos de oferta Colciencias del programa para los Departamentos de Huila y de Caldas.
En referencia a la Comunidad Jóvenes Investigadores e Innovadores, se continuó con la administración del grupo, posteando los capítulos de Mi Mente Curiosa, información institucional, notas de ciencia e investigación, y se incorporó información sobre oportunidades de estudio y laborales de interés para los miembros del grupo. La comunidad hoy cuenta con 455 miembros.
Frente al Fortalecimiento I+D jóvenes alianza SENA, la invitación proyectada para 2018 con 75 jóvenes beneficiados, quedó aplazada para el 2019 de acuerdo al comité de Subdirección del 4 de diciembre de 2018. En el que se considera se revise denuevo la propuesta para el desarrollo de la Jornadas. 
</t>
    </r>
    <r>
      <rPr>
        <b/>
        <sz val="11"/>
        <rFont val="Segoe UI"/>
        <family val="2"/>
      </rPr>
      <t xml:space="preserve">Evaluación/Recomendación
</t>
    </r>
    <r>
      <rPr>
        <sz val="11"/>
        <rFont val="Segoe UI"/>
        <family val="2"/>
      </rPr>
      <t>Teniendo en cuenta los propósitos diversos tanto del programa Ondas y Jóvenes Investigadores, para 2019 desde la OAP se recomienda dividir el indicador, teniendo en cuenta que los actores que participan hacen parte de procesos de vocación científica y niveles de intervención distintos. Para el caso, de la estrategia de mapeo, es necesario revisar su aporte para mediciones posteriores, dados que la misma puede distorsionar los avances frente a los instrumentos que apoyan la formación de jóvenes investigadores.</t>
    </r>
  </si>
  <si>
    <r>
      <t>A 31 de diciembre de 2018, se asignó el</t>
    </r>
    <r>
      <rPr>
        <b/>
        <sz val="11"/>
        <rFont val="Segoe UI"/>
        <family val="2"/>
      </rPr>
      <t xml:space="preserve"> 100</t>
    </r>
    <r>
      <rPr>
        <b/>
        <i/>
        <sz val="11"/>
        <rFont val="Segoe UI"/>
        <family val="2"/>
      </rPr>
      <t>% del cupo de inversión para el otorgamiento de beneficios tributario</t>
    </r>
    <r>
      <rPr>
        <sz val="11"/>
        <rFont val="Segoe UI"/>
        <family val="2"/>
      </rPr>
      <t>s a empresas que presentaran proyectos de Ciencia, Tecnología e Innovación. Este porcentaje es equivalente a $640 mil millones cumpliendo con la proyecciones definidos para la vigencia. Para llegar al 100% del cupo, debe culminar el proceso de cierre de la vigencia 2018 que incluye el proceso de evaluación de los proyectos plurianuales, con los que se espera asignar la totalidad del cupo.
En línea con lo anterior,</t>
    </r>
    <r>
      <rPr>
        <b/>
        <i/>
        <sz val="11"/>
        <rFont val="Segoe UI"/>
        <family val="2"/>
      </rPr>
      <t xml:space="preserve"> 157 empresas fueron apoyadas en procesos de innovación</t>
    </r>
    <r>
      <rPr>
        <sz val="11"/>
        <rFont val="Segoe UI"/>
        <family val="2"/>
      </rPr>
      <t xml:space="preserve">  en el marco de la Convocatoria para el registro de proyectos que aspiran a obtener beneficios tributarios por inversión en CTeI (ventanilla abierta). Los resultados de las empresas apoyadas en el período dan cuenta de un avance del 100% frente a la meta establecida para la vigencia. Vale resaltar que delas 157 empresas, 106 corresponden a grandes empresas, 37 a medianas, 13 pequeñas y 1 micro.
Acerca de la convocatoria para el registro de propuestas que accederán a los beneficios tributarios de Ingresos No Constitutivos de Renta y Exención del IVA, durante el período analizado, se dió concepto positivo   a 23 proyectos para exención  (17 licencia de importación y 8 con plan de importanción)
También para el período se realizó una reunión el día 27 de julio de 2018 junto con el DNP y el Banco Mundial para identificar los requerimientos iniciales para la estrategia de seguimiento y evaluación de impacto de beneficios tributarios. En esa línea se continua trabajando en la construcción de los términos de referencia para la invitación a presentar propuesta en este estudio.
</t>
    </r>
    <r>
      <rPr>
        <b/>
        <sz val="11"/>
        <rFont val="Segoe UI"/>
        <family val="2"/>
      </rPr>
      <t>Evaluación/Recomendación</t>
    </r>
    <r>
      <rPr>
        <sz val="11"/>
        <rFont val="Segoe UI"/>
        <family val="2"/>
      </rPr>
      <t xml:space="preserve">
 Este indicador concentrar el logro de sus resultados tanto en %cupo asignado como en empresas, en el cuarto trimestre de la vigencia, dadas las programaciones de las sesiones del CNBT.  Basados en que este indicador ha aportado considerablemente la movilización de recursos de inversión en ACTI desde el sector privado del país, se recomienda darle continuidad o implementar alguna metrica asociada, de cara a los compromisos del PND 2018-2022, en el cual se pretente alcanza 1,5% del PIB de inversión en ACTI para 2022.</t>
    </r>
  </si>
  <si>
    <r>
      <t xml:space="preserve">A lo largo del año se lograron vincular a través de la plataforma SUNN a 80 empresas que ahora tienen la posibilidad de interactuar y colaborar entre sí y con otras organizaciones de la plataforma, con el fin desarrollar y solucionar retos de innovación.
Desde el nacimiento del Programa (2015) a 31 de diciembre de 2018,  se cuenta con ocho ciudades con la estrategia de Pacto por la Innovación en ejecución (Cúcuta, Bucaramanga, Cali, Barranquilla, Bogotá, Eje Cafetero, Villavicencio y Cartagena), como resultados de la implementación de la estrategia liderada por Colciencias  se tiene:
CÚCUTA: 383 firmantes (de los cuales 68 se lograron en el tercer año de la estrategia lo que equivale a un cumplimiento de la meta de 50 empresas establecida en este periodo), BUCARAMANGA: 450 firmantes (de los cuales 90 se lograron en el tercer año de la estrategia lo que equivale a un cumplimiento de  la meta de 75 empresas establecida en este periodo), CALI: 524 firmantes (de los cuales 30 se lograron en el tercer año de la estrategia lo que equivale a un cumplimiento de 19% de la meta de 160 empresas establecida en este periodo), BARRANQUILLA: 625 firmantes (de los cuales 128 se lograron en el tercer año de la estrategia lo que equivale a un cumplimiento de la meta de 80 empresas establecida en este periodo), BOGOTÁ: 868 firmantes (de los cuales 160 se lograron en el tercer año de la estrategia lo que equivale a un cumplimiento de la meta de 100 empresas establecida en este periodo), EJE CAFETERO: 484 firmantes (de los cuales 34 se lograron en el tercer año de la estrategia lo que equivale a un cumplimiento de 34% de la meta de 100 empresas establecida en este periodo), VILLAVICENCIO: 106 firmantes superando la meta de 100 en un 6%., CARTAGENA: 188 firmantes superando la meta de 100 en un 88%.En total se registran 4176 firmantes incluyendo los 3628 firmantes de las regiones donde se firmó el Pacto por la Innovación sumado a 548 firmantes de otras regiones.
</t>
    </r>
    <r>
      <rPr>
        <b/>
        <sz val="11"/>
        <rFont val="Segoe UI"/>
        <family val="2"/>
      </rPr>
      <t xml:space="preserve">Evaluación/Recomendación
</t>
    </r>
    <r>
      <rPr>
        <sz val="11"/>
        <rFont val="Segoe UI"/>
        <family val="2"/>
      </rPr>
      <t>Este programa genera el entorno para que efectivamente las empresas en las regiones puedan iniciar sus procesos de innovación. La meta cuatrienio se logró en 2017 (8 ciudades con pacto); no obstante para 2018 generará un aporte al indicador de empresas. Se recomienda para el cuatrienio entrante, si se continua con el programa, aumentar su cobertura que permita llegar a otras regiones del país.</t>
    </r>
  </si>
  <si>
    <r>
      <t xml:space="preserve">A 31 de diciembre se registraron  2 política de CTeI Aprobada  estan corresponden a:
1. Colciencias adoptó el Libro Verde 2030 como la Política Nacional de Ciencia e Innovación para el desarrollo sostenible, mediante Resolución 0628 de 2018, . Su objetivo es orientar la ciencia e innovación para que contribuyan en la solución de los problemas sociales, ambientales y económicos del país, desde un enfoque transformativo, es decir, actuando como catalizadores de cambio a nivel sociotécnico. Dichos problemas se consideran expresados en los Objetivos de Desarrollo Sostenible (ODS) adoptados por el Gobierno nacional como hoja de ruta para el desarrollo sostenible en el mediano y largo plazo. Para lograr este objetivo, la política establece cinco principios orientadores (direccionalidad, participación, aprendizaje y experimentación, interdisciplinariedad y anticipación de resultados y efectos). Además, plantea formas o métodos de trabajo para promover la transformación de los actuales sistemas sociotécnicos hacia unos más sostenibles y establece acciones en tres direcciones específicas:  i) promover y apoyar la adopción del enfoque transformativo en el SNCTI y otros sistemas afines; ii) orientar la ciencia y la innovación nacional para el logro de los ODS; iii) promover y apoyar el despliegue del enfoque transformativo para el logro de los ODS a nivel territorial. 
2. En lo que respecta, a la formulación de la Política Nacional de Ciencia Abierta,  el pasado 17 de diciembre de 2018 se aprobó ante Comité de Subdirección, luego Ede ser sometido a cosnulta a la comunidad a inicios de diciembre. La política busca generar condiciones habilitantes para desarrollar los componentes de ciencia abierta en el marco de una cultura científica que valore el conocimiento como un bien público.Los lineamientos y propuestas iniciales del documento para fomentar la ciencia abierta en Colombia son las siguientes: a) : Propiciar la articulación del régimen de propiedad intelectual del país con los principios y componentes de la ciencia abierta, b) Promover la interacción entre actores del SNCTeI para desarrollar los componentes de la ciencia abierta y c) Explorar mecanismos de financiación e incentivos para el fomento de la ciencia abierta.
Con cierre a diciembre de 2018, se realizaron estudios para la generación de insumos para toma de decisiones en política pública, que incluyeron la revisión de antecedentes, documentos, diagnósticos y demás estudios existentes, así como discusiones con actores expertos de la temática de centros de investigación y de desarrollo tecnológico al interior de Colciencias.  De estas revisiones y discusiones se obtuvieron reflexiones, preguntas y precisiones que permitieron avanzar en precisar la necesidad del estudio insumo, para la formulación de una política nacional de centros de investigación y de desarrollo tecnológico.
</t>
    </r>
    <r>
      <rPr>
        <b/>
        <sz val="11"/>
        <rFont val="Segoe UI"/>
        <family val="2"/>
      </rPr>
      <t xml:space="preserve">Evaluación/Recomendación
</t>
    </r>
    <r>
      <rPr>
        <sz val="11"/>
        <rFont val="Segoe UI"/>
        <family val="2"/>
      </rPr>
      <t>Se cumplió el 100% de las meta establecida para la vigencia. Desde la OAP, se recomienda la revisión y el replanteamiento del indicador de "Políticas de CTeI aprobadas", dado que en el marco de su formulación puede presentar un tendencia al incumplimiento sobre todas aquellas que no dependenn directamente de la gestión de Colciencias y cuya responsabilidad de formulación y aprobación es compartida con otras Enitades. Se recomienda formular indicadores que permitan evidenciar el avance en la formulación de un documento de política frente a unos hitos establecidas en la vigencia.</t>
    </r>
  </si>
  <si>
    <r>
      <t xml:space="preserve">Desde la Unidad de Diseño y Evaluación de Política,  se avanzó en la implementación  en la gestión para generar capacidades entre actores del SNCTI para la formulación de políticas con enfoque transformador; con un total de 1  acción de fortalecimiento para le período analizado, logrando así el 50% de cumplimiento respecto a la meta prevista. Dicha acción refiere a la adhesión frente al Consorcio Política de Innovación para la Transformación - TIPC
Por su parte,  el "Convenio bilateral Colciencias-SPRU para desarrollar acciones (talleres, mentorías, experimentos de política) orientados a la difusión y consolidación de una política transformativa entre los actores del SNCTeI" no logró ser completada dentro del plazo estipulado (30 de septiembre), debido a que aún están en discusión los términos entre SPRU y Colciencias, así como el análisis de la necesidad y su viabilidad financiera. Luego de someter la discusión de la aprobación del convenio entre SPRU y Colciencias , el pasado 26 de noviembre de 2018, se decidió aplazarla para el 2019.
</t>
    </r>
    <r>
      <rPr>
        <b/>
        <sz val="11"/>
        <rFont val="Segoe UI"/>
        <family val="2"/>
      </rPr>
      <t xml:space="preserve">Evaluación/Recomendación
</t>
    </r>
    <r>
      <rPr>
        <sz val="11"/>
        <rFont val="Segoe UI"/>
        <family val="2"/>
      </rPr>
      <t>El logro de la acción pendiente, depende de la suscripción de un convenio con SPRU que viene siendo gestionado desde el primer semestre de 2018. Se recomienda a la Unidad de Política movilizar la gestión (interna y externa) que permitan suscribir en el menor término el convenio con SPRU, dado que el proceso de negociación se viene dando desde inicios de la vigencia.</t>
    </r>
  </si>
  <si>
    <r>
      <t xml:space="preserve">A 31 de diciembre de 2018, como estrategia para fortalecer las capacidades en formulación y estructuración de proyectos de CTeI y consolidar la Red de Estructuradores a través del uso de herramientas en estructuración de proyectos aloajdas en el sitio web de la red en la URL redctei.gov.co, en la que se realiza la interacción continua entre usuarios de búsqueda y estructuradores. Allí se encuentran una serie de cotnenidos enfocados a brindar herramientas necesarias para fortalecer y orientar la fomrulación y estructuración de proyectos de CTeI. Los talleres se realizaron en 6 regiones definidas para dar cobertura a los 33 departamentos que han hecho uso de las herramientas de apoyo en la estructuración de proyectos, logrando así el 100% de la meta establecida para el período.
Los resultados de los talleres dan cuenta de un total de 1.475 personas inscritas, de las cuales el 25% correspondieron a participantes en la ciudad de Bogotá, el 14% del departamento de Antioquia y el 14% del departamento del Valle del Cauca. El porcentaje restante se distribuyó entre los 31 departamentos restantes.
</t>
    </r>
    <r>
      <rPr>
        <b/>
        <sz val="11"/>
        <rFont val="Segoe UI"/>
        <family val="2"/>
      </rPr>
      <t>Evaluación/Recomendación</t>
    </r>
    <r>
      <rPr>
        <sz val="11"/>
        <rFont val="Segoe UI"/>
        <family val="2"/>
      </rPr>
      <t xml:space="preserve">
La meta de la vigencia ha sido cumplida; sin embargo es importante que desde Gestión Territorial se mantengan las estrategias que permitan que los departamento hagan uso permanente de las herramientas para fortalecer las capacidades en la estructuración de proyectos en las regiones y dados los compromisos que Colciencias como Secretaría Técnica ha adquirido en el marco del a reforma al FCTeI del SGR.
</t>
    </r>
  </si>
  <si>
    <r>
      <t xml:space="preserve">A 31 de diciembre de 2018, se logró aprobar el 31,3% de los recursos del Fondo de CTeI del Sistema General de Regalías. La inversión para este período fue cercana a los $228 mil millones, con esta se evidencia un nivel de cumplimiento del 69%  frente a la meta establecida para la vigencia. El incumplimiento de la meta se ha venido presentando por las siguientes razones:
1- La aprobación del acto legislativo 4 de 2017 fue necesario trabajar articuladamente con entidades del gobierno nacional en el proyecto de Ley para regular el parágrafo 5 del artículo 361 de la Constitución Política, el cual cambia y modifica las reglas para la definición de programas y proyectos a financiarse con los recursos del FCTeI del SGR, razón que ha generado expectativas e incertidumbre a las Entidades Territoriales con respecto a la presentación de proyectos al FCTeI.
2- Se han identificado bajas capacidades en la estructuración de los proyectos de CTeI, toda vez que las propuestas presentadas tienen deficiencias en las metodologías de formulación de proyectos establecida por el Departamento Nacional de Planeación y en el cumplimiento de los requisitos establecidos por la Comisión Rectora definidos en el Acuerdo 045 de 2017.
3- El rezago de la No aprobación de proyectos en años anteriores generó la acumulación de recursos para 2018.
Así mismo, en este período se logró acompañar 17 de los 33 planes y acuerdos departamentales de CTeI  (PAED)  previstos para el año 2018. El acompañamiento se llevó a cabo en el marco de la realización del os CODECTI en las regiones correspondientes:  Arauca, Atlantico, Bolivar, Boyaca, Caldas, Caqueta, Cauca, Cesar, Choco, Cundinamarca, Huila, Magdalena, Meta, Risaralda y Santander. Esta situación permitió alcanzar apenas el 52% de la meta de la vigencia.
Se llevaron a cabo 7 jornadas de asistencia técnica regional para fortalecer la elaboración de proyectos formulados en 6 (2 jornadas en la región Centro Oriente) regiones del país, contando con la participación de 24 departamentos, revisando 81 proyectos y contando con la participación de aproximadamente 215 asistentes. También en este período se efectuaron 252 jornadas de asistencia departamentales, principalmente en la región Caribe, Centro Orienta, Llianos, Pacífico, Centro Sur, y Eje cafetero.
</t>
    </r>
    <r>
      <rPr>
        <b/>
        <sz val="11"/>
        <rFont val="Segoe UI"/>
        <family val="2"/>
      </rPr>
      <t>Evaluación/Recomendación</t>
    </r>
    <r>
      <rPr>
        <sz val="11"/>
        <rFont val="Segoe UI"/>
        <family val="2"/>
      </rPr>
      <t xml:space="preserve">
El indicador de % de recursos aprobados ha venido presentando incumplimientos desde el primer semestre de 2018; desde el gestión territorial se han propuesta acciones para susbsanar los resultados obtenidos que incluyen:
a) Focalizar la estrategia de asistencia técnica en verificación de requisitos principalmente en proyectos que se encuentran en trámite con un porcentaje mayor a 60% frente al cumplimiento de requisitos de verificación.
b) Gestionar con las entidades la priorización de los proyectos registrados en el SUIFP-SGR proyectos que corresponden a la oferta institucional de Colciencias o proyectos tipo, las cuales requieren menores tiempos en la formulación, estructuración y evaluación para dinamizar la presentación de proyectos ante el Órgano Colegiado de Administración y Decisión - OCAD . del Fondo Ciencia Tecnología e Innovación del Sistema General- FCTeI-Sistema General Regalías.
c) Analizar las causales de devolución de los proyectos que representan el 10% de los recursos susceptibles de financiación con el fin de generar estrategias que permitan subsanar dichas causales y así se cumpla con los requisitos establecidos para su posterior viabilización, priorización y aprobación por parte del Órgano Colegiado de Administración y Decisión  OCAD.
No obstante al cierre de año dicho incumplimiento continuó. Es necesario para 2019, dados los compromisos que Colciencias como Secretaría Técnica ha adquirido en el marco del a reforma al FCTeI del SGR, ene l marco de las convocatorias públicas, abiertas y competitivas y que son operadas por Colciencias, se reactiva la aprobación de recursos por parte del órgano colegiado OCAD. 
En esa línea, respecto al acompañamiento de los PAEDS, la vigencia término 17 de los 33 planeados para 2018. Basados en las funciones de la Secretaría Técnica del FCTeI del SGR,uno de los deberes es acompañar su actualización, más aún que como lo menciona el Decreto 1467 de 20818, dichos PAEDs deben actualizarse con los retos de desarrollo regional, focos y líneas programáticas  antes del 31 de enero de 2019.
</t>
    </r>
  </si>
  <si>
    <r>
      <t xml:space="preserve">Con corte a 31 de diciembre, se han logrado consolidar 07 alianzas estratégicas: OCDE, CYTED, ICGB y la de INNOV-AL, IRAN  y SudafricaCon esto se logra la meta establecida para la vigencia: . Los avances en el marco del logro de estos ajustes, se precisa a continuación:
Con el fin de hacer seguimiento a los compromisos de la Cumbre Iberoamericana, se realizó la Reunión de la Comisión para la Agenda Iberoamericana de Cooperación en Ciencia, Tecnología e Innovación en Ciudad de México, con la participación de Colombia, México, El Salvador, España, Guatemala y Panamá.  En este evento, se revisó la hoja de ruta y de los resultados de la anterior Reunión de la Comisión para la Agenda Iberoamericana de cooperación en CTI (Ciudad de Guatemala, 7 marzo 2017). Avances y principales desafíos. En el tercer trimestre en representación de Colciencias la Subdirectora general, Dra. Sonia Monroy, asistió a la reunión de la Comisión. En este espacio, se logró hacer el respectivo seguimiento a los compromisos planteados en las reuniones de Ministros y Altas Autoridades en CTeI en los años 2014 y 2016.
En el segundo trimestre del año al respecto del programa CYTED y lo sucedido en la Cumbre Iberoamericana realizada en Varadero-Cuba en el año 2014, que planteo la necesidad de realizar modificaciones en los documentos base del Programa CYTED a la luz del Estatuto de las PIPAS de la Secretaria General Iberoamericana y por el cual se creó la Comisión Revisora conformada por 7 países. Colombia por ser el organizador de la Cumbre en año 2016, se estatuyó como líder de esta comisión y se definió como sede anfitriona para recibir a los países miembros de la última. El 12 y 13 de abril se reunieron los representantes de los países de Argentina, Cuba, Panamá, El Salvador, España y Uruguay, como miembros de la comisión y Brasil como país observador del proceso, para redactar los documentos soporte de los instrumentos del programa CYTED: el Estatuto Programa CYTED y el y el Reglamento Orgánico del Programa CYTED, basados en el Manual Operativo de la SEGIB.  Para el tercer trimestre se logró consolidar la alianza INNOV-AL en el marco del proceso de intercambio de experiencias para el fortalecimiento de la innovación bajo el acuerdo de la CELAC y la UE COLCIENCIAS se ha venido apoyando la "PLATAFORMA INNOV-AL EU-LAC" la cual tiene por objetivo "apoyar la difusión y aprendizaje de la experiencia y buenas prácticas de la política regional europea y lograr una mayor cooperación entre las autoridades nacionales y regionales de 4 países de América Latina (Argentina, Chile, Colombia y Perú)". Para el segundo trimestre, se ratificó el compromiso adquirido por Colombia en el marco de la Reunión de Altos Oficiales del mes de octubre de 2017 en San Salvador, para la realización del taller "Intercambio de experiencias para el fortalecimiento de la innovación y las infraestructuras de investigación en el marco de CELAC - UE". De igual forma en esta iniciativa en el segundo trimestre, Colciencias,  participó en la primera reunión del grupo de trabajo de Infraestructuras de Investigación entre la Comunidad de Estados Latinoamericanos y Caribeños - CELAC y la Unión Europea, en Bruselas, con el propósito de conocer las experiencias exitosas que se han llevado a cabo en varios países. Se documento información sobre las infraestructuras de investigación más fuertes del país, para poner en consideración de la Unión Europea para posibles visitas.
Frente al desarrollo de compromisos en el marco de la OEA como presidente de la Comisión Interamericana de Ciencia y Tecnología (COMCYT), en el marco de los compromisos adquiridos en la V Reunión de Ministros y Altas Autoridades en Ciencia y Tecnología - REMCyT Colciencias ha realizado seguimiento a los Grupos de Trabajo como Presidente Pro-témpore de la Comisión Interamericana de Ciencia y Tecnología - COMCyT. Durante el segundo trimestre se realizó, en conjunto con la Secretaría Ejecutiva para el Desarrollo Integral - SEDI, el seguimiento a los cuatro Grupos de Trabajo (Innovación, Educación y Recursos Humanos, Infraestructura Nacional de la Calidad, Desarrollo Tecnológico), durante la reunión de planeación de la Comisión Interamericana de Ciencia y Tecnología - COMCYT, en la que se realizó el Plan de Trabajo para los próximos 3 años, en los que Colciencias ejercerá como Presidencia de dicha Comisión. A partir del Plan de Trabajo se determinan las actividades para los grupos de la COMCyT y se les hará el seguimiento anual respectivo. Al respecto de la consolidación de alianza esta se dará hasta el cuarto trimestre dado que a pesar de tener el documento del plan de trabajo del COMCYT la reunión de aprobación con los 4 coordinadores de los grupos de trabajo se tuvo que mover en calendario ya que anualmente la OAE tiene su asamblea general en el mes de junio y posteriormente pasan al periodo de vacaciones de verano durante un mes, por otra parte el cambio de gobierno en Colombia obligó a reprogramar el encuentro para el mes de noviembre lo que generó un rezago en el logro de la meta en el trimestre, en compensación a esta alianza durante el trimestre se logró formalizar otra alianza con el Programa Iberoamericano de Ciencia y Tecnología para el Desarrollo - CYTED, a través del cual se busca fomentar la cooperación multilateral en investigación e innovación para el desarrollo de la región Iberoamericana; promoviendo mecanismos de cooperación entre el sector académico e investigativo (universidades, centros de investigación y desarrollo) y el sector productivo y empresarial. 
También se firmó el memorando de Entendimiemnto con Iran obre Cooperación Científica y Tecnológica entre el Consejo de Iniciativas en Nanotecnología de la República Islámica de Irán (INIC) y el Departamento Administrativo de Ciencia, Tecnología e Innovación de la República de Colombia (COLCIENCIAS) con el objeto de Promover y apoyar conjuntamente la investigación en nanotecnología, y el intercambio entre los sectores pertinentes en áreas de nanotecnología, de acuerdo con sus intereses mutuos.
También se firmó el memorando de Entendimiento en Cooperación en los campos de Ciencia y Tecnología entre el Departamento de Ciencia y Tecnología de la República de Sudáfrica y el Departamento Administrativo de Ciencia, Tecnología e Innovación de Colombia - COLCIENCIAS con el objeto de:
I.Promover el desarrollo de la cooperación en los campos de la ciencia y la tecnología sobre la base de la igualdad, la reciprocidad y la ventaja mutua.
II.Definir, a través del consentimiento mutuo, varias áreas en las que dicha cooperación es deseable, teniendo en cuenta la experiencia de científicos y especialistas de los Participantes y las oportunidades disponibles para ellos.
III.Asegurar que las actividades de colaboración sean de alto nivel.
IV.Promover la innovación empresarial para el beneficio del avance de la ciencia, la tecnología y la innovación en ambos países.
En el marco de las acciones de fortalecimiento del rol de Colciencias como Punto Nacional de Contacto de H2020 Colciencias junto con la Universidad del Norte de Barranquilla se organizó un taller de información para investigadores y estudiantes en dicha ciudad con el objetivo de difundir las oportunidades de colaboración entre investigadores colombianos y europeos. El evento contó con la participación de los Puntos Nacionales de Contacto para temas de Acción Climática y TIC.
</t>
    </r>
    <r>
      <rPr>
        <b/>
        <sz val="11"/>
        <rFont val="Segoe UI"/>
        <family val="2"/>
      </rPr>
      <t>Evaluación/Recomendación:</t>
    </r>
    <r>
      <rPr>
        <sz val="11"/>
        <rFont val="Segoe UI"/>
        <family val="2"/>
      </rPr>
      <t xml:space="preserve">
Se recoienda al equipo deinternacioalización, adicional al número de proyectos financiados registrar en gestión información asociada con lso recursos apalancandos, beneficios de las alianzas, oportunidad de nuevos aliados, entre otros aspectos que permitan ampliar el alacance de lo que desde Colciencias se está gedtioanndo con miras a la internacionalización de la CTeI.</t>
    </r>
  </si>
  <si>
    <r>
      <t xml:space="preserve">Como parte de la gestión de alianzas internacionales en términos de recursos y capital político, en 2018 se realizaron negociaciones con la Corporación Internacional del Código de Barras de la Vida (International Barcode of Life -iBOL- Corporation) con sede en Canadá con el objeto de aunar esfuerzos con el fin de ampliar la base de referencia de los códigos de barra de ADN de la biodiversidad nacional, con la Organización Europea para la Investigación Nuclear -CERN- para la colaboración en la construcción del Detector ATLAS, con el MINCYT de Argentina para avanzar en una convocatoria para apoyar proyectos de investigación conjuntos en el área de la salud y con el Consorcio de Universidades CALDO para fomentar el desarrollo de estudios de posgrado y de proyectos de investigación por parte de profesionales colombianos en Canadá. Se espera que estas negociaciones concluyan en la suscripción de al menos una nueva alianza internacional para la movilización de recursos técnicos y financieros internacionales en beneficio de los actores del SNCTeI. Adicionalmente se suscribió una alianza con el Programa de las Naciones Unidas para el Desarrollo -PNUD- con el cual se busca promover el fortalecimiento de experiencias comunitarias y/o ciudadanas en la conservación de ecosistemas a partir de la apropiación social de la CTI. Lo anterior, en el marco del programa A Ciencia Cierta, para la versión Conservación Comunitaria de Ecosistemas Estratégicos, la cual se desarrollará en alianza con el Programa de Pequeñas Donaciones GEF.
 Con lo anterior, se logra el 100% de la meta establecida para la vigencia.
</t>
    </r>
    <r>
      <rPr>
        <b/>
        <sz val="11"/>
        <rFont val="Segoe UI"/>
        <family val="2"/>
      </rPr>
      <t xml:space="preserve">Evaluación/Recomendación:
</t>
    </r>
    <r>
      <rPr>
        <sz val="11"/>
        <rFont val="Segoe UI"/>
        <family val="2"/>
      </rPr>
      <t>Se recomienda al equipo deinternacioalización, adicional al número de proyectos financiados registrar en gestión información asociada con lso recursos apalancandos, beneficios de las alianzas, oportunidad de nuevos aliados, entre otros aspectos que permitan ampliar el alacance de lo que desde Colciencias se está gedtioanndo con miras a la internacionalización de la CTeI.</t>
    </r>
  </si>
  <si>
    <t>Respecto a la Convocatoria de formación para estudios de maestría y doctorado en el exterior COLFUTURO,  su apertura se dió el 9 de enero de 2018 y el cierre 28 de febrero. Durante el mes de junio se hizo oficial el otorgamiento de 1.365 créditos beca para estudios de maestría y doctorado, con lo cual se dio inicio al proceso de legalización de los mismos. De estas becas se otorgaron 143 becas de doctorado y 1222 becas para maestrías, del total de becarios se beneficio a personas de grupos priorizados así: 17 beneficiarios de grupos afrodescendientes y 8 personas procedentes de comunidades indígenas. 
Respecto a la Convocatoria para la conformación de un banco de candidatos elegibles para estudios en el exterior Colciencias - Fulbright, cuyo propósito es apoyar la formación de alto nivel de profesionales e investigadores colombianos que deseen realizar programas de doctorado en los Estados Unidos, en universidades que se encuentren en el Academic Ranking of World University – ARWU – Ranking General de Shanghái 2017, cuya fecha de apertura fue  el 15 de febrero y  su cierre se dió el 15 de mayo de 2018, con un número total de 132 propuestas de candidatos presentadas. La lista de candidatos que fueron elegidos determinando un total de 20 becas de doctorado en el exterior. Paralelamente, se dió inicióal contrato que da paso a la operación de apoyo (LASPAU) con Fulbright y se inició el proceso de acompañamiento de mejoramiento de perfil de los candidatos. 
Frente a la formación de capital humano de alto nivel para las regiones, durante la vigecia se adelantó la publicación del banco preliminar de elegibles de las convocatorias de Atlántico con los siguientes resultados en sus banco preliminares: Candidatos de Doctorado Nacional: 97, Candidatos de Doctorado en el exterior 17, Candidatos de Maestría Nacional: 326 y Candidatos de Maestría en el Exterior: 9, por otra parte de la convocatoria del departamento de La Guajira tuvo dentro de sus elegibles preliminares 117 candidatos para maestría a nivel nacional y 19 candidatos para maestría en el exterior. Por otro lado, se realizó la revisión de requisitos para las Convocatorias 821 (Cesar docentes), 822 (Cauca docentes) y 823 (Formación Cauca), para dar inicio al proceso de evaluación.
Se debe recordar que desde la iniciativa de ejecución y seguimiento a los Centros de Excelencia en Apropiación (CEA) se tiene un aporte de 13 becas de Maestría a nivel nacional en universidades acreditadas de alta calidad como aporte a la gestión este indicador estratégico. 
Recomendación/Evaluación
Se recomienda para el próximo cuatrienio, formular indicadores que separen los apoyos a becas y creditos becas para estudios de doctorado, estudios de maestría y estancias posdoctorales. De esta manera,  es posible de manera sencilla identifcar donde se concentran los esfuerzos tanto de recursos monetarios como de gestión de la Entidad.</t>
  </si>
  <si>
    <r>
      <t xml:space="preserve">El 22 de marzo de la vigencia de 2018,  se dió apertura a la convocatoria para el apoyo de estancias posdoctorales la cual tuvo cierre el 31 de mayo. De esta convocatoria se recibieron propuestas de 380 interesados de los cuales 298 cumplieron requisitos mínimos, el 29 de junio se publicó el banco preliminar de elegibles con estos 298 candidatos que continuan en el proceso. En la fase II de la convocatoria se tiene un total de 207 propuestas registradas, es importante recordar que en esta segunda fase las entidades del SNCTeI presentaron sus propuestas de investigación, desarrollo tecnológico o innovación en conjunto con los doctores que realizarán la estancia postdoctoral en el marco de las mismas. Finalmente, el 26 de noviembre se publicaronlos resultados del banco definitivo de elegibles con un total de </t>
    </r>
    <r>
      <rPr>
        <b/>
        <sz val="11"/>
        <rFont val="Segoe UI"/>
        <family val="2"/>
      </rPr>
      <t xml:space="preserve">179 propuestas. </t>
    </r>
    <r>
      <rPr>
        <sz val="11"/>
        <rFont val="Segoe UI"/>
        <family val="2"/>
      </rPr>
      <t xml:space="preserve">Más del 70%de las estancias se llevará a cabo en universidades, seguida por centros e institutos de investigación y enmenor proporción con actores del sector productivo.
Para la iniciativa del portafolio para la conformación de becarios se hace la publicación del portal en donde se encuentra la información que se enmarca en la fase 1 de la convocatoria 811 - Programa de estancias postdoctorales para beneficiarios de formación Colciencias en entidades del SNCTeI. El link del portafolio de doctores se encuentra en el siguiente acceso: https://scienti.colciencias.gov.co:8086/convocatorias/buscador/inscripciones_309/personas/areas#
</t>
    </r>
    <r>
      <rPr>
        <b/>
        <sz val="11"/>
        <rFont val="Segoe UI"/>
        <family val="2"/>
      </rPr>
      <t>Recomendación/Evaluación</t>
    </r>
    <r>
      <rPr>
        <sz val="11"/>
        <rFont val="Segoe UI"/>
        <family val="2"/>
      </rPr>
      <t xml:space="preserve">
Recomendación/Evaluación
Se recomienda para el próximo cuatrienio, formular indicadores que separen los apoyos a becas y creditos becas para estudios de doctorado, estudios de maestría y estancias posdoctorales. De esta manera,  es posible de manera sencilla identifcar donde se concentran los esfuerzos tanto de recursos monetarios como de gestión de la Entidad.</t>
    </r>
  </si>
  <si>
    <r>
      <t>En primer semestre de 2018, se elaboró el documento de análisis de los resultados de la Convocatoria 768 para Indexación de Revistas Científicas Colombianas Especializadas. En este se consignó los antecedentes de dicha Convocatoria y también se realizó una descripción detallada del procedimiento y la obtención de los resultados. Así mismo, se expuso un análisis de datos, las conclusiones y algunas recomendaciones para próximas convocatorias de indexación de revistas científicas nacionales. Con corte al 31 de diciembre de 2.018, se da apertura de la convocatoria el pasado mes de octubre y que permanecerá abierta hasta el 06 de febrero de 2.019 la cual tiene como objetivo evaluar la calidad de las revistas científicas nacionales, mediante criterios relacionados con la gestión editorial, la visibilidad y el impacto de las publicaciones, con el propósito de incrementar la calidad de la producción científica nacional y su inserción en el ámbito internacional. En el segundo semestre con corte al 30 de septiembre y con los análisis realizados en el "Documento Análisis de los Resultados de la Convocatoria 768 Para Indexación de Revistas Científicas Colombianas Especializadas", se elaboró el documento de propuesta de ajustes al modelo de clasificación de revistas del Índice Bibliográfico Nacional que sirvió de base para los términos de referencia de la siguiente convocatoria de indexación de revistas científicas nacionales.
Al respecto de la medición de incremento del valor en el índice H5, se realizó la revisión para la ventana de observación 2013 -2017 para las 246 revistas clasificadas en la Convocatoria 768 de 2016 y se incrementó en un</t>
    </r>
    <r>
      <rPr>
        <b/>
        <sz val="11"/>
        <rFont val="Segoe UI"/>
        <family val="2"/>
      </rPr>
      <t xml:space="preserve"> 64.63%</t>
    </r>
    <r>
      <rPr>
        <sz val="11"/>
        <rFont val="Segoe UI"/>
        <family val="2"/>
      </rPr>
      <t xml:space="preserve"> debido al cambio de período. Sin embargo, este resultado se toma como insumo para realizar nuevamente una revisión de la métrica para la Convocatoria 830 de 2018, con el fin de validar la variación e identificar las revistas que aumentan considerablemente el valor del he respecto a esta revisión. 
Luego de haber aclarado en el semestre pasado la forma y la periodicidad del indicador considerando que la metodología de medición demanda un alto grado de ocupación del equipo de la dirección de fomento a la investigación y haciendo las consultas para consolidar la medición, se determina el valor de meta en 25% de incremento. 
Para la iniciativa de Formulación e implementación del plan de apoyo a revistas colombianas se desarrolló el curso virtual “Currículo del Editor” y de este resultó un producto entregable de los planes de mejoramiento. En general, se entregaron 321 planes de mejoramiento en el desarrollo de las 3 cohortes del programa de formación virtual, compuestos por estrategias en 7 dimensiones de la gestión editorial, los cuales son 1) Política y gestión editorial, 2) Calidad del contenido, 3) Nivel de citación, 4) Frecuencia de publicación, 5) Accesibilidad de la revista, Plan de visibilidad e 7) Indexación.
Finalmente para la iniciativa del servicio permanente de homologación de revistas especializadas de CTeI – Publindex: se anexa la lista de revistas homologadas correspondiente a la vigencia 2018, actualización que se visualizó y publicó el 27 de noviembre del 2.108 en el portal de Publindex, en la sección homologación para la consulta individual o la lista completa. El total de revistas homologadas fue 22.909, las cuales se clasificaron de la siguiente manera:
Categoría A1 = 7135
Categioría A2 = 5737
Categoria B = 5237
Categoría C = 4800
Recomendación/Evaluación
Desde la Oficina Asesora de Planeación, recomienda que teniendo en cuenta el comportamiento favorable del indicador de Incremento del 25% del valor del H5 para las revistas nacionales indexadas; si se decide en el marco de la evaluación de los resultados de la planeación institucional darle continuidad, es necesario revisar las metas dado que desde el primer semestre de la vigencia 2018 se lograron los resultados previstos y para el segundo semestre.
</t>
    </r>
  </si>
  <si>
    <r>
      <t>En el marco de la implementación de la invitación para apoyar empresas beneficiadas de Alianzas para la innovación para el desarrollo de proyectos o prototipos, a cuarto trimestre de 2018, en convenio con Confécamaras  se implementaron los prototipos de 8 alianzas regionales en todo el territorio nacional s: Andino Amazónica, Caribe, Eje Cafetero, Llanos, Pacífico, Santanderes y Boyaca, Tolima-Huila-Cundinamarca. De estas Alianzas ya cerró la fase de implementación logrando apoyar así 3</t>
    </r>
    <r>
      <rPr>
        <b/>
        <i/>
        <sz val="11"/>
        <rFont val="Segoe UI"/>
        <family val="2"/>
      </rPr>
      <t>30 empresas apoyadas en procesos de innovación,</t>
    </r>
    <r>
      <rPr>
        <sz val="11"/>
        <rFont val="Segoe UI"/>
        <family val="2"/>
      </rPr>
      <t xml:space="preserve"> de las cuales 255 corresponden a microempresas, 54 pequeñas, 13 medianas y 5 grandes.
Frente a la formación de empresas de innovación a través de sesiones de mentalidad innovadora,  a cuarto trimestre se llevaron a cabo cinco degustaciones de innovación en conjunto con la Cámara de Comercio de Bogotá, a través de los cuales se socializó la importancia de definir un propósito para retar la estrategia de la organización a través de la innovación.</t>
    </r>
    <r>
      <rPr>
        <b/>
        <i/>
        <sz val="11"/>
        <rFont val="Segoe UI"/>
        <family val="2"/>
      </rPr>
      <t xml:space="preserve">  </t>
    </r>
    <r>
      <rPr>
        <sz val="11"/>
        <rFont val="Segoe UI"/>
        <family val="2"/>
      </rPr>
      <t>A partir de esta estrategia se apoyaron 536</t>
    </r>
    <r>
      <rPr>
        <b/>
        <i/>
        <sz val="11"/>
        <rFont val="Segoe UI"/>
        <family val="2"/>
      </rPr>
      <t xml:space="preserve"> empresas de procesos de innovación.
</t>
    </r>
    <r>
      <rPr>
        <sz val="11"/>
        <rFont val="Segoe UI"/>
        <family val="2"/>
      </rPr>
      <t>Con lo anterior, a cuarto trimestre de 2018 se han apoyado</t>
    </r>
    <r>
      <rPr>
        <b/>
        <i/>
        <sz val="11"/>
        <rFont val="Segoe UI"/>
        <family val="2"/>
      </rPr>
      <t xml:space="preserve"> 866 empresas en procesos de innovación</t>
    </r>
    <r>
      <rPr>
        <sz val="11"/>
        <rFont val="Segoe UI"/>
        <family val="2"/>
      </rPr>
      <t xml:space="preserve">, cifra que corresponde al 98,4% de la meta anual (880). 
Frente a la evaluación de la viabilidad para la realización de un proceso de formación virtual en innovación, e llevó a cabo la evaluación de la viabilidad para la realización de un proceso de formación virtual en innovación con el nuevo director de Desarrollo Tecnológico e Innovación, de la cual se concluyó que no era viable y que los recursos destinados inicialmente para este fin se destinarían para otras estrategias en la Dirección de Desarrollo Tecnológico e Innovación.
</t>
    </r>
    <r>
      <rPr>
        <b/>
        <sz val="11"/>
        <rFont val="Segoe UI"/>
        <family val="2"/>
      </rPr>
      <t xml:space="preserve">Recomendación/Evaluación
</t>
    </r>
    <r>
      <rPr>
        <sz val="11"/>
        <rFont val="Segoe UI"/>
        <family val="2"/>
      </rPr>
      <t>Teniendo en cuenta la evolución del programa de "Alianzas para la Innovación", para la planeación 2019 es necesario diseñar o repensar el mismo de cara a las nuevas apuestas de las bases del PND 2018-2022 y tomando como público objetivo aquellos que ya surtieron el proceso de formación en el cuatrienio 2015-2018.</t>
    </r>
  </si>
  <si>
    <r>
      <t>Con corte a 31 de diciembre de 2018, se han apoyado un total de</t>
    </r>
    <r>
      <rPr>
        <b/>
        <i/>
        <sz val="11"/>
        <rFont val="Segoe UI"/>
        <family val="2"/>
      </rPr>
      <t xml:space="preserve">  265 empresas en procesos de innovación</t>
    </r>
    <r>
      <rPr>
        <sz val="11"/>
        <rFont val="Segoe UI"/>
        <family val="2"/>
      </rPr>
      <t xml:space="preserve">, asociado a las iniciativas de la implementación de la estrategia de Sistemas de Innovación (147), Gestión Territorial e Implementación de los  Proyectos Oferta (84) y Sostenibilidad de la estrategia de sistemas de innovación (35).
La distribución por departamento es la siguiente: 16,8% Nariño, 14,9% Santander, 11,2% Cundinamarca, 11,2% Atlántico, 9,7%  Valle del Cauca, 7,5% Norte de Santander y Bolivar, 5,6% Meta y Caldas, 4,1% Boyacá, 1,5% Quindio y Cauca.
Las actividades a partir de la estrategia de sistemas de innovación se llevó en colaboración con las Cámaras de Comercio quienes acturaron como operadores regionales para su despliegue. Esto involucró el desarrollo de talleres en las regiones antes mencionadas con el propósito de impulsar la innovación empresarial para la creación y/o consolidación de sistemas básicos de innovación.  Con lo anterior, se logró el 100% de la meta establecida para la vigencia.
Por lo que refiere a la Gestión Territorial de Sistemas de Innovación, en el período, se actualizó el Proyecto Oferta Colciencias de Innovación Empresarial, teniendo en cuenta las observaciones realizadas en diferentes sesiones del OCAD y mesas técnicas realizadas, en el marco del Sistema General de Regalías. Los cambios implicaron la inclusión de un numeral asociado al “Proceso de cofinanciación de prototipos (Módulo sistemas de Innovación)” en el cual se señaló el proceso para la estimación de presupuestos de inversión y aprobación de los mismos. De igual manera se modificó el capítulo asociado a los términos de referencia y  la adhesión de un anexo relacionado con caracterización de proyectos financiados por Colciencias y los montos promedios desde el año 2007 a 2017. Así mismo, una vez surtido el proceso de convocatoria de las tres regiones en las cuales Colciencias ha operado el proyecto oferta institucional de innovación empresarial se seleccionaron a 86 empresas para que inicien su proceso de innovación a través de la creación y/o consolidación de un sistema de innovación empresarial. Estas empresas se encuentran en la etapa contractual y el próximo año están iniciando el entrenamiento de alto nivel estipulado en el proyecto oferta.
Para el caso de la consolidación y medición de resultados e impacto bajo la estrategia bitácora de inversiones, a cierre de la vigencia 2018,  se logró recolectar información sobre el estado inicial de innovación de las empresas antes de ser parte del programa de Sistemas de Innovación, sus avances y logros en materia de innovación durante el programa y finalmente los resultados e impactos de éstas una vez han terminado el mismo. Por ejemplo para el Departamento de Santander, se consolidó la información de la inversión en ACTI, de lo que vale destacar aspectos como: aquellas empresas previo a la aplicación del programa de Sistemas de Innovación el 63% no integraban algún tipo de estrategia de innovación, el 78% no contaban con portafolios de innovación, el 83% no dedicaban presupuesto para innovación. Posterior a la aplicación al programa estas cifras se tradujeron en que el 89% de las empresas del departamento cuentan con una estrategia de innovación, el 89% poseen una portafolio asociados a este tema y el 76% destina presupuesto para innovación.
</t>
    </r>
    <r>
      <rPr>
        <b/>
        <sz val="11"/>
        <rFont val="Segoe UI"/>
        <family val="2"/>
      </rPr>
      <t>Recomendación/Evaluación</t>
    </r>
    <r>
      <rPr>
        <sz val="11"/>
        <rFont val="Segoe UI"/>
        <family val="2"/>
      </rPr>
      <t xml:space="preserve">
Teniendo en cuenta la evolución del programa de "Sistemas de Innovación", para la planeación 2019 es necesario diseñar o repensar el mismo de cara a las nuevas apuestas de las bases del PND 2018-2022 y tomando como público objetivo aquellos que ya surtieron el proceso de formación en el cuatrienio 2015-2018. Esto puede involucrar la unificación de apuestas de programas como Alianzas, Sistemas y Pactos por la Innovación. En ese sentido revisar las metricas basadas en la evolución de las  empresas que surtieron la cadena de valor de los procesos de innovación.
</t>
    </r>
  </si>
  <si>
    <r>
      <t>A 31 de diciembre de 2018, con respecto al apoyo de los proyectos de I+D+i se resalta las gestiones que a continuación se mencionan:
a) Convocatoria de brechas tecnológicas: su objetivo es cofinanciar proyectos de cierre de brechas tecnológicas que partan de la identificación previa de demandas y ejercicios de prospectiva o roadmap, para las empresas en alianza con Centros de Desarrollo Tecnológico y Centros de Innovación y Productividad. En el período analizado, se dió apertura de la convocatoria (16 de mayo de 2018) con un monto para financiación de $4.714.778.513. De acuerdo al reporte, se seleccionan 7</t>
    </r>
    <r>
      <rPr>
        <b/>
        <sz val="11"/>
        <rFont val="Segoe UI"/>
        <family val="2"/>
      </rPr>
      <t xml:space="preserve"> empresas apoyadas en procesos de innovación</t>
    </r>
    <r>
      <rPr>
        <sz val="11"/>
        <rFont val="Segoe UI"/>
        <family val="2"/>
      </rPr>
      <t xml:space="preserve"> en el marco de la convocatoria 816-2018. Luego de esto se inició el proceso de solicitud de elaboración de contrato para cada una de las entidades beneficiarias.
b) Clúster Proteína Blanca Valle del Cauca: esta iniciativa apoya a proyectos enfocados en el cierre de brechas tecnológicas que partan de la identificación previa de demandas mediante un ejercicio de roadmap tecnológico, para el clúster de proteína blanca del Valle del Cauca. En el período analizado se llevó a cabo el proceso de contratación entre la Camará de Comercio de Cali y  Centro de Innovación "Reddi. Con el proyecto de proteína blanca se apoyaron </t>
    </r>
    <r>
      <rPr>
        <b/>
        <sz val="11"/>
        <rFont val="Segoe UI"/>
        <family val="2"/>
      </rPr>
      <t xml:space="preserve">5 empresas empresas en procesos de innovación </t>
    </r>
    <r>
      <rPr>
        <sz val="11"/>
        <rFont val="Segoe UI"/>
        <family val="2"/>
      </rPr>
      <t>con apoyo de la OTRI regional - REDDI.
c) Línea de Crédito Bancoldex: Esta iniciativa busca apoyar proyectos de desarrollo tecnológico e innovación a través de la oferta de una línea especial de crédito y un incentivo a la innovación en modalidad de recuperación contingente, para ser ejecutados por empresas legalmente constituidas en Colombia y que den como resultado, un prototipo funcional que tenga potencial de ingresar a nuevos mercados, contribuya a mejorar su productividad, a diversificar y sofisticar su oferta productiva Esta convocatoria se desarrolló en dos fases, la primera no obtuvo los resultados esperados dados a que los empresarios encontraron que las entidades financieras no les aseguran las condiciones crediticias definidas por Bancóldex. Las empresas manifestaron la dificultad para cumplir con los requisitos relacionados con los indicadores financieros.  Ya en la segunda fase se dió apertura con resultados de que solo</t>
    </r>
    <r>
      <rPr>
        <b/>
        <sz val="11"/>
        <rFont val="Segoe UI"/>
        <family val="2"/>
      </rPr>
      <t xml:space="preserve"> 2 </t>
    </r>
    <r>
      <rPr>
        <sz val="11"/>
        <rFont val="Segoe UI"/>
        <family val="2"/>
      </rPr>
      <t xml:space="preserve">proyectos se financiaran por línea de crédito con incentivo a la innovación. De otra parte, al evidenciar que no se cumplió con la meta de la convocatoria 817 de 2018 para financiar 4 empresas dada la dificultad de estas, para cumplir con los indicadores financieros definidos como requisito y dado que se evidenció la disponibilidad de recursos; el 31 de octubre se publicó la segunda convocatoria “Innovar tiene su crédito” (conv. 831) con la que se busca ampliar el banco de proyectos financiables de tal manera que sea posible asignar los recursos de la línea especial de crédito Bancóldex, destinados para las convocatoria “Innovar tiene su crédito – línea de financiación de I+D+I” 2018, con el fin dinamizar el interés de las empresas, abrir la oportunidad para el acceso a recursos de bajo costo a nuevas empresas y apoyar la financiación de nuevos proyectos hasta agotar los recursos disponibles de esta nueva línea de financiación. A la fecha en el SIGP se registran 142 solicitudes en diligenciamiento de las cuales 9 corresponden a empresas.
d) Fortalecimiento TECNOPARQUES SENA: se definió el mecanismo a través de la cual se implementará esta estrategia.  Se partió de la necesidad de realizar una invitación a presentar propuesta para qye una firma que realice un diagnóstico y plan de acción para los Tecnoparques del SENA, con el fin de fortalecer sus capacidades en CTeI y revisar la posibilidad de convertirse en Centros de Innovación y Productividad. Con lo anterior y posterior al proceso de evaluación y validactécnica, se seleccionó </t>
    </r>
    <r>
      <rPr>
        <b/>
        <sz val="11"/>
        <rFont val="Segoe UI"/>
        <family val="2"/>
      </rPr>
      <t>1 empresa</t>
    </r>
    <r>
      <rPr>
        <sz val="11"/>
        <rFont val="Segoe UI"/>
        <family val="2"/>
      </rPr>
      <t xml:space="preserve">, cuyo proces de contrratación se encuentra en marcha.
e) I+D BIO: Se avanzó en el seguimiento técnico y financiero de las iniciativas a cargo del programa nacional de Biotecnología referentes a Portafolio 100, Institutional Links y Programas Estratégicos. Desde esta iniciativa se apoyaron 03 empresas en procesos de innovación.
Acerca de la Ventanilla Abierta para el reconocimiento de actores del SNCTeI de la Dirección de  Desarrollo Tecnológico e Innovación, del 01 de enero al 31 de diciembre de 2018 fueron reconocidas 7 unidades de I+D+i: CIDEI, Centro de Productividad y  Competitividad de Oriente,  Corporación Centro de Desarrollo Tencológico del Gas, Corporación Centro de Investigación y Desarrollo de los Llanos CEINDETEC, Centro de Innovación y Tecnología ICP de Ecopetrol, Acerías de Colombia, Instituto de Ciencia y Tecnología Alimentaria INTAL. En el tercer trimestre, se radicaron 04 solicitudes de reconocimiento de las cuales 02 cumplieron requisitos, de acuerdo a lo establecido en la Guía Técnica de Reconocimiento de Actores.
</t>
    </r>
    <r>
      <rPr>
        <b/>
        <sz val="11"/>
        <rFont val="Segoe UI"/>
        <family val="2"/>
      </rPr>
      <t xml:space="preserve">Recomendación/Evaluación
</t>
    </r>
    <r>
      <rPr>
        <sz val="11"/>
        <rFont val="Segoe UI"/>
        <family val="2"/>
      </rPr>
      <t xml:space="preserve">Basados en las cifras discriminadas por iniciativa se registranun total de 25 empresas de las 68 proyectadas para la vigencia 2018, esto significa un cumplimiento del 37% de la meta anual. El rezago se debe principalmente al bajo aporte de otras áreas asociada al apoyo a empresas en I+D+i </t>
    </r>
    <r>
      <rPr>
        <b/>
        <sz val="11"/>
        <rFont val="Segoe UI"/>
        <family val="2"/>
      </rPr>
      <t xml:space="preserve">
</t>
    </r>
    <r>
      <rPr>
        <sz val="11"/>
        <rFont val="Segoe UI"/>
        <family val="2"/>
      </rPr>
      <t>Teniendo en cuenta la evolución del programa de "Apoyo de i+D+i", para la planeación 2019 es necesario diseñar o repensar el mismo de cara a las nuevas apuestas de las bases del PND 2018-2022 y tomando como público objetivo aquellos que ya surtieron el proceso de formación en el cuatrienio 2015-2018.. En ese sentido revisar las metricas basadas en la evolución de las  empresas que surtieron la cadena de valor de los procesos de innovación.</t>
    </r>
    <r>
      <rPr>
        <b/>
        <sz val="11"/>
        <rFont val="Segoe UI"/>
        <family val="2"/>
      </rPr>
      <t xml:space="preserve">
</t>
    </r>
    <r>
      <rPr>
        <sz val="11"/>
        <rFont val="Segoe UI"/>
        <family val="2"/>
      </rPr>
      <t xml:space="preserve">
</t>
    </r>
  </si>
  <si>
    <r>
      <t xml:space="preserve"> En el marco de la relación bilateral con Francia y Alemania se desarrollan programas como ECOSNORD con Francia y otros con BMBF y DAAD con Alemania, para apoyar la movilidad de investigadores para un total de </t>
    </r>
    <r>
      <rPr>
        <b/>
        <sz val="11"/>
        <rFont val="Segoe UI"/>
        <family val="2"/>
      </rPr>
      <t>14 proyectos de investigación.</t>
    </r>
    <r>
      <rPr>
        <sz val="11"/>
        <rFont val="Segoe UI"/>
        <family val="2"/>
      </rPr>
      <t xml:space="preserve">  La distribución de las propuestas es la siguiente:a)  Capítulo 1 ECOS-Nord (Francia): 8 propuestas b) Capítulo 2 DAAD (Alemania): 2  c) Capítulo 3 BMBF (Alemania): 4.
De esta manera , según el comportamiento del indicador no se cumple con la tendencia esperada debido a argumentos técnicos externos de los socios internacionales, quienes aportan una contrapartida importante de dinero y por lo tanto cuentan con voz y voto en las diferentes instancias y espacios decisorios de la convocatoria de movilidad académica con Europa. 
</t>
    </r>
    <r>
      <rPr>
        <b/>
        <sz val="11"/>
        <rFont val="Segoe UI"/>
        <family val="2"/>
      </rPr>
      <t>Evaluación/Recomendación:</t>
    </r>
    <r>
      <rPr>
        <sz val="11"/>
        <rFont val="Segoe UI"/>
        <family val="2"/>
      </rPr>
      <t xml:space="preserve">
Se recoienda al equipo deinternacioalización, adicional al número de proyectos financiados registrar en gestión información asociada con lso recursos apalancandos, beneficios de las alianzas, oportunidad de nuevos aliados, entre otros aspectos que permitan ampliar el alacance de lo que desde Colciencias se está gedtioanndo con miras a la internacionalización de la CTeI.</t>
    </r>
  </si>
  <si>
    <t xml:space="preserve">El registro de apoyo a proyectos de investigación por cuenta de la Dirección de Fomento a la Investigación da cuenta de un total de 388 proyectos de investigación apoyados de 284 proyectos previstos para la vigencia 2018. Con esto se logra el 100% de la meta para la vigencia. Vale resaltar que el gran aporte de los resultados de las convocatorias se produjo en el cuarto trimestre de 2018. A continuación, se detallan los resultados y avances por convocatoria.
a) Convocatoria regional para el fortalecimiento de capacidades I+D+i y su contribución al cierre de brechas tecnológicas en el departamento de Antioquia, Occidente: esta convocatoria busca Identificar proyectos que, en el corto plazo, permitan cerrar brechas tecnológicas, obteniendo productos innovadores y con alto valor agregado; así como promover la articulación de grupos de investigación que han realizado investigaciones recientes para que continúen sus procesos en alianza con otros actores, logrando mejorar la productividad y competitividad del rubro productivo. Se logra la financiación de 18 proyectos de investigación apoyados en la primera convocatoria y 5 proyectos más en la segunda convocatoria de esta iniciativa a la cual se dio paso para el cumplimiento de la meta de la iniciativa. En total se logra la meta con 23 proyectos de investigación apoyados.  
b) Convocatoria para fortalecimiento de las capacidades de investigación del departamento de Nariño a través de la financiación de proyectos en CTeI: esta convocatoria busca fortalecer e impulsar las capacidades científicas en la cual se sustenten la I+D y los procesos de transformación tecnológica en los focos Ambiente y Agropecuario Agroindustrial para el departamento de Nariño. Se logra la meta con 12 proyectos financiados publicando del banco de financiables el pasado 28 de diciembre. 
c) Convocatoria Regional para proyectos de I+D con el fin de fortalecer y aplicar conocimiento en la formación virtual en el Departamento De Antioquia, Occidente: el propósito de esta convocatoria es contribuir a la generación de conocimiento a través de la ejecución de proyectos de investigación con desarrollos tecnológicos funcionales, que atiendan problemáticas de formación virtual para la educación en Antioquia. Tras la definición del banco de financiables el 01 de agosto en la cual se detallan los 21 proyectos apoyados desde esta iniciativa se da paso a la segunda convocatoria de esta iniciativa en la cual esta segunda etapa aporta a la meta con 8 proyectos de investigación en total 29 proyectos de investigación apoyados.
d) II Convocatoria de Ecosistema Científico: busca contribuir al mejoramiento de la calidad de las Instituciones de Educación Superior colombianas participantes, a partir de la conformación de alianzas que impulsen el desarrollo regional y respondan a los retos del desarrollo social y productivo del país, mediante la financiación de programas de I+D+i en los focos estratégicos establecidos, con resultados perdurables y sostenibles en el tiempo. 
Durante el primer semestre de 2018, se sesionó el primer comité técnico interinstitucional en donde se revisó la preparación Misión Banco Mundial, Cronograma y metodología evaluación convocatoria 792; así como el estado de la firma los contratos derivados de las 4 alianzas financiables de la primera fase, producto de la convocatoria 778. Para esta segunda convocatoria se lograron un total de 39 proyectos de investigación apoyados en 4 de los focos de: alimentos, energía sostenible, bioeconomía y sociedad. En esta oportunidad se tuvo una inversión de $71.8 mil millones de pesos. 
e) Convocatoria para Proyectos de Ciencia, Tecnología e Innovación en Salud 2018: su propósito es contribuir a la solución de los retos en salud del país mediante la financiación de proyectos de investigación científica, desarrollo tecnológico e innovación de alto impacto, así como del fortalecimiento de las capacidades nacionales y regionales de CTeI en Salud a través del apoyo a la formación de doctores. Para la convocatoria 807: Convocatoria para Proyectos de Ciencia, Tecnología e Innovación en Salud 2018: Se dio cumplimiento a la meta definida para el indicador con un total de 114 proyectos financiados distribuidos de la siguiente forma:
(107) Proyectos de la Convocatoria 807-2018
(2) Proyectos de la Invitación 894-2018
(5) Proyectos de la Invitación 896-2018. 
Con respecto al número de proyectos financiados del banco de elegibles de la convocatoria 777 se logró la financiación de 51 proyectos de los 53 que estaban como meta para esta convocatoria. Lo anterior debido a que dos de las Universidades seleccionadas desistieron de la financiación debido a que sus investigadores principales renunciaron.  A continuación, se relacionan las Universidades que se retiraron: Universidad Manuela Beltrán e Instituto Metropolitano de Medellín.
f) Proyectos de CTeI y su contribución a los retos del país: su objetivo es fomentar la generación de conocimiento a través de proyectos de CTeI que afronten retos de país, que estimulen la formación de capital humano a nivel de doctorado y deriven en productos con potencial de transferencia de resultados a diferentes grupos de interés. En esta convocatoria se presentaron cerca de 550 propuestas de las cuales 489 cumplieron los requisitos mínimos, en donde finalmente quedan como financiables en cada eje el siguiente número de proyectos: 
En el eje n°1 Desafíos para la paz: 29 proyectos financiables.
En el eje n°2 Crecimiento Verde: 33 proyectos financiables. 
En el eje n°3 Agregación de valor a recursos renovables y no renovables: 37 proyectos financiables. 
En esta convocatoria se logra tener un mayor número de propuestas a financiar gracias a una adición de recursos del fondo FIS el cual permite la mayor financiación de proyectos y a que varios de los proyectos no solicitaron el máximo de proyectos a financiar. 
g) Convocatoria 791 Reino Unido: a través de este instrumento se financian proyectos de investigación aplicada e interdisciplinar, con un componente de intervención y de apropiación social con coinvestigadores de UK relacionados con temáticas de paz en el marco de la estrategia institucional con los Británicos formalizada a través del Fondo Newton. En el primer trimestre de la vigencia, se realizó la búsqueda de los pares evaluadores de las 35 propuestas que fueron inscritas y aprobadas por parte de Colciencias (Colombia) y Research Council UK y Newton Fund (Reino Unido). Los proyectos fueron evaluados por expertos de ambos países y la decisión tomada entre las dos partes definieron los 10 proyectos a financiar.
h) Invitación a presentar propuesta para trabajar en alianza con las comunidades indígenas en temas relacionados en plantas medicinales: durante este período se elaboraron los términos para hacer la invitación, en alianza con comunidades indígenas. Se tuvo abierta la invitación hasta el día 05 de junio y se recibieron en total 5 propuestas de las cuales se seleccionaron para ser financiados 2 proyectos de investigación, una en el departamento de Cundinamarca en el municipio de Sesquilé y otra en el departamento de Antioquia en el municipio de Chigorodó. 
i) Invitación a presentar propuesta para desarrollar una herramienta de modelamiento y/o optimización para la introducción de gas natural a pequeña escala en distintos sectores de consumo final de energía en Colombia (Energía y Minería): su propósito es contribuir desde la investigación científica a la solución de problemáticas asociadas al uso adecuado y eficiente de los recursos energéticos del país, a través del desarrollo de una herramienta de modelamiento y/u optimización para la introducción de procesos de licuefacción de gas natural. Como resultado de la invitación se selecciona una propuesta que permite financiar 1 proyecto de investigación como estaba planeado. 
j) Invitación a presentar propuesta para el Fortalecimiento del Portafolio I+D+i en Seguridad y Defensa: en primer trimestre de 2018, se elaboraron las condiciones de la Invitación en conjunto con el equipo técnico de la Dirección de Ciencia y Tecnología de la Armada Nacional. Como resultado de la invitación se logrará financiar un total de 8 proyectos de investigación en alianza con la Escuela Naval de Cadetes “Almirante Padilla”. 
k) Segunda fase convocatoria para conformar las ternas del Consejo Nacional de Bioética: en el período se presentó una adenda, para ampliar cronograma, dado el número de propuestas presentadas. Debido a los resultados del proceso de la convocatoria fue necesario desarrollar la invitación de presentación de candidatos, logrando los resultados el 06 de agosto se publica el banco definitivo de las 14 ternas seleccionadas y publicadas en el sitio web de la segunda convocatoria.  Para la TERNA DIVERSIDAD ÉTNICA Y CULTURAL se abre una invitación que pretende completar el número de candidatos que cumplen requisitos para conformar dos (2) TERNAS DE DIVERSIDAD ÉTNICA Y CULTURAL, de manera que se puedan conformar las 15 ternas de candidatos para integrar el Consejo Nacional de Bioética-CNB, de acuerdo con lo establecidos en la Ley 1374 de 2010.
Es importante mencionar que se avanza en el proceso de selección de proyectos de las convocatorias que apoyan a esta iniciativa desde Colombia BIO, 12 proyectos de investigación de la convocatoria para proyectos de I+D para el desarrollo tecnológico de base biológica que contribuyan a los retos del Departamento de Boyacá y 12 proyectos de la convocatoria regional para fortalecer capacidades de CTeI de los actores departamentales por medio de la financiación de proyectos de investigación y desarrollo experimental que respondan a los retos en materia de Medio ambiente, Biodiversidad y Recursos Ecosistémicos del Departamento de Cundinamarca de Colombia BIO. 
De forma similar, es importante destacar el aporte al indicador estratégico de proyectos de investigación desde el apoyo que se brinda con el desarrollo de las convocatorias de movilidad internacional y que aporta 14 proyectos de investigación apoyados. 
Respecto a la información científica especializada, para el segundo semestre se dio trámite para el pago a Elsevier así como el pago correspondiente al tercer trimestre. Para cumplir con este Instrumento, Colciencias administra una Alianza conformada actualmente por 52 Universidades y 38 Centros de Investigación Colombianos, 90 en total, con el fin de que estas instituciones puedan acceder y usar los recursos bibliográficos especializados de la Casa Editorial Holandesa Elsevier. Esta empresa es escogida desde el año 2005 por su reconocimiento en tener la mayor demanda por parte de la comunidad científica mundial. 
Las áreas del conocimiento más consultadas en Colombia, en los últimos 5 años, mantienen los siguientes porcentajes: medicina (16%), ingeniería (10.5%) y agricultura y ciencias biológicas (8.8%). Durante el 20187 se trabajó en aplicar la figura de “Consorcio” a las necesidades, requerimientos y perspectivas previstas en el ámbito de la adquisición de recursos y servicios de información científica y técnica a mejores costos y altos beneficios y también en definir una entidad con funciones de administración, gestión, control y evaluación de esquemas de negociación entre instituciones del orden académico y científico.
Recomendación / Evaluación: 
Se recomienda tener consolidado el informe y específicamente hacer un reporte que permita conocer y ampliar el detalle de la gestión realizada de manera que se pueda identificar buenas prácticas o algunas oportunidades de mejora que sirvan para la toma de decisiones. A pesar de darse el cumplimiento a la meta durante la vigencia es importante considerar que se da el caso particular de los recursos de FIS que pudieron destinarse a la financiación de proyectos sin embargo bajo el escenario de la ausencia de recursos, se habría encontrado en una situación de riesgo para el cumplimiento de la meta de este indicador.  
</t>
  </si>
  <si>
    <r>
      <t xml:space="preserve">A 31 de diciembre de 2018, se comunicaron el 100% de los programas estratégicos priorizados para la vigencia. Con esto, se han realizando durante el año cerca de 34 acciones de divulgación las cuales abarcan 28 programas estratégicos de los 28 priorizados para el año, logrando así la meta proyectada para el año.  Se destaca principalmente el lanzamiento de la plataforma "Ciencia en Cifras",  Colciencias 50 años, Inventarlo no es suficiente, Innovar tiene su crédito, Publindex, entre otras.
En cuanto a la gestión de comunicación interna, en el período de enero a diciembre se han desarrollado 10 campañas internas a seguir: a) "Usemos protección, actuemos con precaución", cuyo objetivo es la importancia de la seguridad informática, b)  Campaña "Ponte mosca": su objetivo es dar a conocer los programas de Seguridad y Salud en el Trabajo, c) Campaña "¡Toma partido por el planeta!": el objetivo de la campaña es incentivar una cultura medioambiental interna, d)  Campaña "Ser Comunidad Colciencias es": con el objetivo de fortalecer la cultura organizacional y el sentido de pertenencia de los colaboradores, se realiza una campaña enfocada en destacar lo que es la Comunidad Colciencias y cuáles son sus características, e)  Campaña PMO: el objetivo de esta campaña fue fortalecer la cultura de gestión de proyectos en la Entidad, f) Campaña "Contágiate de lo bueno": el objetivo de la campaña era fortalecer las normas de convivencia en la Comunidad Colciencias, resaltando el buen uso de las zonas comunes, el control del ruido y la amabilidad con el personal de seguridad y servicio, g)  Campaña "La magia de servir": con el objetivo de incentivar una cultura de servicio hacia los ciudadanos y h) Campaña “¡Memerízalo! Bien y a tiempo, Campaña interna "50 años Colciencias y Campaña "¿Hacemos un trato? ¡Liquidemos los contratos!
Para este mismo período,  se realizó seguimiento y se mantuvo el cumplimiento de los 7 requisitos del índice de ITEP a cargo del programa, logrando así el 100% de cumplimiento de la meta de los requisitos de transparencia. Esta gestión se enfoca en la generación de condiciones institucionales para divulgación de información que inlcuye: la creación de lineamientos internos para la divulgación de la información pública,  el tratamiento especial a entrega de información especifica, así como la documentación de los criterios de publicación de la información, en el marco legal aplicable. 
En esta linea, frente al componente de modernidad a 31 de diciembre de 2018 se evidencia un </t>
    </r>
    <r>
      <rPr>
        <sz val="12"/>
        <rFont val="Segoe UI"/>
        <family val="2"/>
      </rPr>
      <t>cumplimiento</t>
    </r>
    <r>
      <rPr>
        <sz val="11"/>
        <rFont val="Segoe UI"/>
        <family val="2"/>
      </rPr>
      <t xml:space="preserve"> del 100% de los requisitos asignados al Equipo de Comunicaciones en el componente de Gobierno en Línea, con un total de 8 requisitos cumplidos de 8 asignados.  Se han venido realizando las acciones necesarias para el mantenimiento del indicador. En este sentido, se ha publicado la información básica y la establecida en la Ley de Transparencia y Acceso a la Información púbica, ley 1712 de 2014, en diversos formatos. Así mismo, se mantiene actualizada la información que se publica en las plataformas digitales.
Para ecosistema digital  en página de enero a diciembre se han registraron un total de 11.371.7240 de visitas a pa´gina web, asociado principalmente a la apertura de un número considerable de convocatorias, se implementó la plataforma de la Ciencia en Cifras y el Libro Verde 2030, se desarrolló la campaña CTeI en evolución y se divulgaron a través de la web los casos de éxito de los beneficiarios.  Además se publicación algunos bancos preliminares y definitivos de elegibles. Sumado a esto, se destacan las campañas realizadas con Niños y Ciencia, la semana especial de Innovación y la semana de Perfilados. Los principales lugares de visita de la página fueron: las convocatorias, el home principal y la plataforma scienti.
Como conclusión a todas estas iniciativas se ha logrado sensibilizar 2.540.435 entre redes sociales, página web Colciencias y Semana.com.Con esto se da cumplimiento al 100% de la meta establecida para la vigencia.
Los eventos realizados a cuarto trimestre del 2018 se cubrieron, estructuraron y coordinaron 85 escenarios y/o eventos de las direcciones estratégicas de la Entidad, así mismo se desarrollaron planes de acción para especificar las tareas claves y responsabilidades del equipo con el fin de lograr una correcta ejecución y cubrimiento de los eventos programados, para cada se mantuvo comunicación con los aliados externos para garantizar la ejecución y cumplimiento de los propósitos de cada escenario.
</t>
    </r>
  </si>
  <si>
    <t>Para el proceso de sostenibilidad de transformación cultural y organizacional en la Entidad, durante el tercer trimestre se adjudicó el contrato para la medición e intervención de clima y Cultura Organizacional, con el objeto de medir, desarrollar e implementar estrategias para gestar el cambio organizacional, iniciando su ejecución el 1 de agosto de 2018. En esa línea, se realizó la medición de Clima Organizacional mediante una encuesta en línea y se elaboró el informe de resultados, paralelamente se están desarrollando la escuela de líderes para coordinadores, gestores, Jefes de áreas entre otros,. Dada esta gestión, se ha logrado 5,9 puntos de incremento en la calificación de la cultura organización  , logrando así la meta propuesta correspondiente al tercer trimestre de la vigencia.
Teniendo en cuenta las actividades contempladas para dar cumplimiento a la Iniciativa estratégica: “La motiviación nos hace más productivo", durante el período reportado en la Entidad se implementaron diferentes capacitaciones, charlas, talleres, con el objetivo de fortalecer las competencias blandas y técnicas de los servidores, lo cual contribuye al desarrollo personal y laborar de las personas, entre las capacitaciones realizadas en el trimestre están: Contratación Estatal, Inducción y Re-inducción, Gestión Documental, MGI y tercera línea de Defensa, Equidad de Género, Negociación Colectiva,  PMO., servicio al Ciudadano (un servicio fuera de serie) , Beneficios Tributarios y Orfeo.
Desde la iniciativa "Liderando Talento", se avanzó en la realización de las capacitaciones  construyó el Código de Integridad - Colciencias -  basados en los insumos recibidos durante la vigencia 2017 en lo que respecta a:La Dirección General del momento invito a la Comunidad Colciencias a participar en el diligenciamiento de una encuesta para identificar los valores organizacionales y sus conductas asociaciadas.  Este documento se presenta a la actual Dirección General y Secretaria General - Talento Humano para su aprobación.  Una vez aprobado se inicia el proceso de sensibilización y socialización del mismo.as capacitaciones programadas cumplieron con los objetivos institucionales que aportan a la misionalidad y al carácter estratégico de la Entidad. Igualmente, los cursos impartidos fortalecieron las competencias técnicas y blandas para que los servidores optimicen el desarrollo de las funciones asignadas y esto aporte a los resultados generales de la Entidad.
Respecto a la iniciativa "Cultura basada en el servicio",  a cuarto trimestre se construyó el documento basados en los insumos obtenidos en la encuesta aplicada a la Comunidad Colciencias donde, lo importante fue la participación masiva para determinar los valores y las conductas asociadas.  Se ha tenido en cuenta estar alineados a la Guía y al Código de Ética del Departamento Administrativo de la Función Pública - DAFP – para la construcción del Código de integridad. Este se socializó ante las instancias pertinentes.
Frente a la iniciativa "Cultura de hacer las cosas bien", a cierre de 2018,  se realizó la evaluación parcial correspondiente al primer semestre del año (1 de febrero a 31 de julio de 2018).   Previo a esta evaluación, se llevó a cabo reuniones, asesorías con los servidores para recordar el diligenciamiento de los formatos de la evaluación de desempeño laboral independiente de su tipo de vinculación. Así mismo con el seguimiento a los acuerdos de Gestión. Se socializo el Código de Integridad y buen  gobierno con la comunidad Colciencias, a través de diferentes medios como web, y correo electrónico, adicionamente se realizó una charla para sensibilizar a la comunidad Colciencias con el animo de evidenciar las conductas asociadas que los servidores deben tener con relación a los  valores organizacionales.
En cumplimiento a los requisitos de transparencia, Colciencias cuenta con 86 ítems los cuales se realizan a cabalidad, lo que lleva a un cumplimiento del 100%.
Con relación a la evaluación de desempeño del periodo 2017-2018 se presentó inconformidad de la evaluación de desempeño por dependencias de la Dirección de Fomento a la Investigación. Esto fue puesto en conocimiento de la Dirección y de la Comisión de Personal, quien remitió lo correspondiente a la Comisión Nacional del Servicio Civil.
En cuanto al desempeño de los servidores, la evaluación correspondiente al primer semestre se realiza hasta el 31 de julio de 2018, a la fecha se cuenta con dos evaluaciones finales correspondientes a servidores que se han retirado de la Entidad y su calificación ha sido sobresaliente.</t>
  </si>
  <si>
    <t xml:space="preserve">Frente al desarrollo del componente de “Planear integral y oportunamente” para cuarto trimestre se consolidaron los resultados de la matriz de hitos de la planeación, instrumento a través del cual se muestra la relación mensual de los productos que realiza la Oficina Asesora de Planeación en términos de la formulación, seguimiento y evaluación de los planes institucionales. El cumplimiento de las actividades hito depende del trabajo articulado y apoyo de las diferentes dependencias de Colciencias. Este ejercicio permite consolidar el modelo de planeación integral garantizando que las metas estratégicas establecidas en el plan estratégico tienen asociados programas que garantizan su cumplimiento, con sus respectivas acciones, resultados esperados y presupuestos, identificando diversas fuentes, así como indicadores de monitoreo periódico y permanente que permitan generar alertas tempranas. Dicha gestión se extiende a los planes que acompañan el Plan Estratégico Institucional y Plan de Acción Institucional: Plan Anual de Convocatorias, Plan Anual de Inversión, Plan Anticorrupción y de Atención al Ciudadano y Plan Anual de Adquisiciones. Para el cuarto trimestre de 2018, se observa un cumplimiento del 100% de hitos conforme lo programado (15 hitos programados para el período). Se cumple la tendencia esperada y en términos de lograr las actividades enmarcadas en el proceso de planeación institucional y del quehacer de la Oficina Asesora de Planeación de Colciencias.
Vale destacar los siguientes hitos en el período reportado:
Seguimiento de los instrumentos de planeación a tercer trimestre de 2018, que por motivos de agenda de los miembros del COMDIR debió presentarse a inicios del mes de noviembre.
Apoyo en la construcción de las bases del Plan Nacional de Desarrollo 2018-2022, donde la CTeI por primera vez conforma una Pacto ( capítulo ) denominado “Pacto por la Ciencia, la Tecnología y la Innovación: un sistema para construir el conocimiento de la Colombia del futuro”. De este pacto se desprenden 04 líneas estratégicas a seguir:
Desarrollar sistemas Nacionales y Regiones de innovación integrados y eficaces
Más ciencia, más futuro: compromiso para duplicar la inversión pública y privada en Ciencia, Tecnología e Innovación
Ciencia, Tecnología e Innovación para el desarrollo productivo territorial
Impulsar la Innovación pública en Colombia
También Colciencias tienes compromisos en 04 pactos adicionales de los 15 pactos de las bases del PND 2018-2022.
Desde la OAP se ha venido garantizando la articulación de los compromisos de las bases del plan frente a la construcción de planeación estratégica institucional.
En cuanto al análisis de estadísticas  se actualizaron los tableros para Grupos de Investigación e Investigadores. Se desarrolló un primer tablero para Proyectos de I+D+i financiados por Colciencias. Se publicaron en La Ciencia en Cifras los tableros de recaudo y ejecución FFJC, Beneficiarios de becas de maestría y doctorado
Con corte a 31 de diciembre de 2018, se evidencia el cumplimiento del 100% de los requisitos asignados a la Oficina Asesora de Planeación en el componente del índice de Transparencia de Entidades Públicas (ITEP), con un total de 147 requisitos cumplidos de 147 asignados. Se logró implementar dentro de la estrategia el Plan de Participación Ciudadana 2018 y la audiencia pública de rendición de cuentas de la vigencia 2017, se logra cumplir el 100% en los requisitos de Gobierno en Línea a cargo, alcanzando una mejor ejecución que en el primer trimestre, esto se debe principalmente por  la construcción del Plan de Participación Ciudadana 2018 y la puesta en operación del instrumento "La Ciencia en Cifras" (Herramienta Tableau), a través de la cual se cuenta con información estadística relevante y trazable que facilitan el consumo, análisis, uso y aprovechamiento de los componentes de información como: Presupuesto de la entidad (inversión y funcionamiento), Reconocimiento de Grupos e Investigadores del país, Producción científica, Revistas Científicas Nacionales Indexadas por Colciencias – Publindex, entre otros.
Desde la Oficina de Control Interno, con el fin de contribuir a una Colciencias más Transparente,  se han mantenido y actualizado los 8 requisitos asignados, manteniendo un cumplimiento del 100%.  En cumplimiento del Plan de Auditorias de la Oficina de Control Interno, y conforme lo programado para el cuarto trimestre de 2018, se tenia planeado generar 14 informes de Auditoria , de los cuales se cumplio la meta con 15.
Desde la Secretaria General se cargó el  documento con la política en aprobación por la Agencia Nacional de Defensa Jurídica del Estado - ANDJE  con el fin de establecer la Política de Prevención de Daño Antijurídico del Colciencias, así como determinar las causas generales del daño antijurídico que permitan determinar y adoptar mecanismos preventivos con el fin de evitar que las decisiones que conllevan a las actuaciones administrativas puedan generar hechos u omisiones que vayan en contra de la normatividad vigente y afecten los intereses de la Nación. Se emitió el primer borrador sobre la guía para la supervisión e interventoría de contratos / convenios. Desde esta área se logró el 99% de cumplimiento de los requisitos de transparencia en Colciencias.
</t>
  </si>
  <si>
    <r>
      <t xml:space="preserve">Frente al análisis del nivel de madurez del sistema de gestión de calidad, calculado mediante la aplicación de la norma UNE 66174 se evidencia que para el cierre de la vigencia 2018 se logra un </t>
    </r>
    <r>
      <rPr>
        <b/>
        <sz val="11"/>
        <rFont val="Segoe UI"/>
        <family val="2"/>
      </rPr>
      <t>nivel de madurez del sistema del 64,1%</t>
    </r>
    <r>
      <rPr>
        <sz val="11"/>
        <rFont val="Segoe UI"/>
        <family val="2"/>
      </rPr>
      <t xml:space="preserve"> (Calificación 3,2/ 5), resultado que permite un avance importante frente a la meta esperada del 65%, teniendo como principales avances los siguientes: a) Fortalecimiento de la planeación estratégica y el plan de acción anual como mecanismo para incentivar la mejora y las metas planificadas, en coherencia con las necesidades de las partes interesadas y el Plan Nacional de Desarrollo -PND 2019-2022, b) Consolidación de la caracterización de los usuarios y partes interesadas y del procedimiento de reconocimiento de actores en coherencia con la política de actores adoptada mediante resolución 1473 de 2016, c) Fortalecimiento del ejercicio de análisis del contexto estratégico a fin de favorecer la formulación y seguimiento a metas coherentes con las capacidades de la Entidad y las necesidades del entorno  y d) Fortalecimiento de las estrategias de participación ciudadana y rendición de cuentas con el fin de lograr una mayor vinculación de las partes interesadas en las etapas de diagnóstico, formulación, implementación y evaluación de planes, programas y proyectos de la Entidad.
Con respecto al avance del </t>
    </r>
    <r>
      <rPr>
        <b/>
        <sz val="11"/>
        <rFont val="Segoe UI"/>
        <family val="2"/>
      </rPr>
      <t>plan de optimización</t>
    </r>
    <r>
      <rPr>
        <sz val="11"/>
        <rFont val="Segoe UI"/>
        <family val="2"/>
      </rPr>
      <t>,   cerrando la vigencia 2018 se evidencia un avance del</t>
    </r>
    <r>
      <rPr>
        <b/>
        <sz val="11"/>
        <rFont val="Segoe UI"/>
        <family val="2"/>
      </rPr>
      <t xml:space="preserve"> 93%</t>
    </r>
    <r>
      <rPr>
        <sz val="11"/>
        <rFont val="Segoe UI"/>
        <family val="2"/>
      </rPr>
      <t>, frente al 100% esperado, resultado que obtener un resultado satisfactorio, especialmente por el impulso y apoyo dado a la optimización por parte de la Secretaria General a fin de lograr la concertación y aprobación de los productos del proceso de Gestión de Contratación.
Frente al plan de racionalización de trámites, con corte a 31 de diciembre de 2018 se evidencia un avance del</t>
    </r>
    <r>
      <rPr>
        <b/>
        <sz val="11"/>
        <rFont val="Segoe UI"/>
        <family val="2"/>
      </rPr>
      <t xml:space="preserve"> 98% en el plan de racionalización de trámites </t>
    </r>
    <r>
      <rPr>
        <sz val="11"/>
        <rFont val="Segoe UI"/>
        <family val="2"/>
      </rPr>
      <t xml:space="preserve">frente a un 100% de avance esperado, con lo cual se obtiene un resultado satisfactorio frente a la meta planificada. Es importante considerar que mediante Comité de Gestión y Desempeño Institucional del 29 de agosto se aprueba la inclusión de una nueva línea de optimización para la inclusión de la “Ventanilla Única de Innovación”, con lo cual se pasan de tres a cuatro acciones de racionalización.
En lo que concierne al cumplimiento de los requisitos de transparencia en Colciencias, a cuartotrimestre de 2018 se mantiene el cumplimiento de 4 requisitos de los 4 asignados logrando el 100% de desempeño frente a la meta esperada, como resultado del seguimiento permanente a la disponibilidad de los trámites  de Colciencias en la página web verificando que se encuentre con la información requerida por el ciudadano y las especificaciones de la función pública, así mismo se mantiene el monitoreo a la plataforma "No más filas", a fin de garantizar que efectivamente los trámites de Colciencias quedan disponibles en esta nueva plataforma. 
Colciencias mas moderna: Con corte a 31 de diciembre de 2018, se asegura el cumplimiento y mantenimiento de 9 de los 9 requisitos aplicables para el programa "Más fácil menos pasos", resultado que permite lograr un 100% de cumplimiento frente a la meta planificada. El principal logro se obtiene con el avance en la estrategia para la implementación de la ventanilla única, requisitos que se logra con la planificación y puesta en operación del "Portal de Innovación”, el cual es una herramienta de coordinación entre entidades públicas, mediante la cual se unificará una sola oferta en innovación a nivel nacional.
 Por otro lado se revisan los antecedentes del portal de innovación el cual permitirá que los usuarios encuentren la oferta pública consolidada de instrumentos de innovación del país en un único sitio, se realiza la verificación y actualización de los trámites y servicios de Colciencias.
</t>
    </r>
  </si>
  <si>
    <t xml:space="preserve">A diciembre 31 de 2018, se avanzó en un 100% de un 100% esperado en la implementación del programa de gestión documental, que ha involucrado el informe de avance de la implementación de las Tablas de Retención Documental, un informe de elaboración de Tablas de Valoración Documental y un informe del estado actual del sistema frente a los requisitos mínimos que debe cumplir un sistema de gestión documental. Adicionalmente dió avance en la actividad del contrato de Tablas de Valoración Documental.
En el marco del indicador de cumplimiento de los requisitos de transparencia, se tienen estipulados 12 requisitos, los cuales se encuentran todos en el ítem de cumplimiento al 100%.  Las actividades desarrolladas durante el tercer trimestre, que impactan las variables existentes, se describen a continuación:
- Actualización del registro de activos de información, acorde a las Tablas de Retención Documental convalidadas por el Archivo General de la Nación.
- Elaboración de la Guía para la conformación de los expedientes de convocatorias A104PR02G06.
- Actualización de la información publicada en la página web, Link de transparencia, sección Tablas de Retención Documental.
- Actualización permanente de los inventarios documentales del archivo de gestión centralizado.
- Obtención del certificado de convalidación del Archivo General de la Nación para las Tablas de Retención Documental.
 En las actividades relacionadas con instrumentos de gestión documental, presenta un avance del 2%, relacionado con la actualización del Programa de Gestión Documental y la actualización del procedimiento control de registros de información y administración de archivos
Se elaboró la guía de implementación de Tablas de Retención Documental, publicada en GINA A104PR02G07, la cual contiene lineamientos generales para la clasificación, organización, descripción de los archivos de gestión, así como también el proceso de transferencia documental, préstamo de expedientes, ajustes a las TRD, y acompañamiento por parte de la oficina de gestión documental.
De igual manera actualizó el procedimiento A104PR02, incluyendo cuatro (4) secciones al documento, de acuerdo a las actividades desarrolladas actualmente por el equipo de gestión documental, entre las cuales se encuentra: Creación de registros de información, Organización documental, Inventario documental, Transferencia primaria.
</t>
  </si>
  <si>
    <t xml:space="preserve">Con corte a 31 de diciembre de 2018, se mantiene el cumplimiento con el 100% de los requisitos de la Dirección Financiera asociado a la publicación en página web de manera oportuna y permanente presupuesto en ejercicio, histórico del presupuesto asignado a la Entidad (vigencia 2013 a 2018) y ejecución del presupuesto asignado en la vigencia fiscal (enero a noviembre de 2018)
En cuanto a la estrategía Colciencias mas moderna, en el trimestre analizado se dió cumplimiento al 100% de requisitos de  GEL, realizando actividades  que permitan tener buenas prácticas sobre conservación de los activos de Colciencias y que impacten positivamente con el medio ambiente, que han incluido la implementación del Programa de residuos peligrosos y no peligrosos, con el manejo de los impactos ambientales que genera Colciencias en recursos naturales, contaminación del agua, contaminación del suelo y aire y contaminación visual. Para ayudar a mitigar los efectos del cambio climático, se lanzó la campaña ¡toma partido por el planeta!, a través de un concurso como reconocimiento a la toma de conciencia en la protección del medio ambiente para ayudar al planeta. También se lanzó  la campaña “los hábitos que debemos cambiar para el mundo que queremos habitar, separar y reciclar no lo puedes evitar”, el objeto de esta campaña es dar a conocer cómo y qué debemos reciclar, así como el buen uso de las estaciones de reciclado con que cuenta Colciencias en cada piso.
Por su parte, desde el plan de depuración contable de la vigencia 2018, El plan de depuración contable de la vigencia 2018 se estructuro en tres grandes actividades: cartera, bolsa de deducciones y propiedad, planta y equipo. La actividad de cartera con una participación del 40% finalizo con una ejecución del 33% teniendo que, no se alcanzó a cumplir un 7% del plan por las siguientes razones: 4% de la actividad “Proyectar las fichas técnicas de cartera de los cinco (5) CT/CV para ser presentadas al Comité de Sostenibilidad Contable y/o de Normalización de Cartera de la Entidad según corresponda” del IV Trimestre, en razón a que solamente se presentaron dos (2) CT/CV al Comité de Normalización de Cartera, quedando tres (3) CT/CV para  la vigencia 2019.
3% de la actividad “Implementar el Aplicativo de Cartera para realizar seguimiento todas las obligaciones que se encuentran en la base actual de manera sistematizada” teniendo en cuenta que el contratista mediante correo electrónico del 27 de diciembre de 2019 solicitó prorrogar la vigencia del contrato hasta marzo de 2019, toda vez que no se alcanzó a colocar en producción el módulo con las parametrizaciones requeridas por Colciencias
La actividad relacionada con la “bolsa de deducciones” con una participación del 24% y la actividad de “propiedad, planta y equipo” con una participación del 36% se cumplieron en su totalidad. Al cierre del cuarto trimestre se obtuvo una ejecución del 93% del Plan de Depuración Contable, con lo cual se da por finalizado las actividades en la presente vigencia.  Las actividades no culminadas serán incluidas en el plan de depuración de la vigencia 2019.
 </t>
  </si>
  <si>
    <t>Para la vigencia 2018, se inició el proceso de integración del sistema ORFEO con el MGI con el fin de simplificar pasos en el procedimiento de solicitud de convenios derivados y modificaciones de los mismos, por tal motivo de manera conjunta con el personal de la oficina de Tic se trazó un cronograma de trabajo y se determinaron los eventos que se deben suprimir para hacer el proceso de integración MGI-ORFEO más eficiente, dado que esta es una actividad definida como un desarrollo de alto impacto desde la Secretaria General y las Áreas Técnicas; para el tercer trimestre se avanzó en el 20%  restante del plan antes descrito, con lo cual al corte del 31 de diciembre de 2018 se cumplió con lo previsto al 100%  en el desarrollo del proceso de integración. MGI – ORFEO.</t>
  </si>
  <si>
    <t>A cuarto trimestre de 2018, se evidenció un 100% de avance en el desarrollo del nuevo sistema integrado de informacióncumpliendo la meta propuesta en el proyecto. Así mismo los entregables  propuestos como  licenciamiento, instalación del Sistema Integrado de Información y puesta en producción, documentación técnica (Manuales técnicos y de usuario final, instructivos), migración, capacitación, pruebas funcionales, No funcionales, integrales y modulares fueron recibidos a satisfacción. Las actividades principales durante todo año fueron las siguientes: a) Se renovó las licencias de Alfresco y Liferay.
b) se realizó el proceso de rediseño y reconstrucción de los módulos del Sistema Integrado de Información  de los grupos funcionales, c) se realizaron las pruebas funcionales, no funcionales, modulares e integrales por la firma desarrollo, d) Se ejecutaron por Colciencias las pruebas de aceptación equivalente  a 1424 casos de pruebas con un resultado inferior al 5 % de errores críticos y mayores, dentro del nivel de aceptación, e) Se realizaron despliegues de las versiones en ambientes pre productivo y de pruebas, f) Se desarrolló la capacitación funcional a capacitadores y técnica a la oficina TIC.
En cuanto a la dotación tecnológica, para el cuarto trimestre se presentó avance  en el licenciamiento de software, implementación de servicios tecnológicos, disponibilidad de servicios en la nube, y mantenimiento y soporte de los portales web, se avanzó  en el plan de adquisiciones  apoyando la gestión tecnológica en algunos servicios como telefonía, video conferencia y registro de visitantes, se logró  iniciar el proceso de mantenimiento y bolsa de repuestos para garantizar la disponibilidad de los equipos de cómputo de la totalidad de usuarios de la Entidad. En los portales web se logró afinar y estabilizar las plataformas de los sistemas.
 En cuanto el cumplimiento de los requisitos de transparencia, en el cuarto trimestre de 2018, se mantuvó el cumplimiento del 100% de los requisitos asignados a la Oficina TIC en el componente del índice de Transparencia de Entidades Públicas (ITEP), con un total de 5 requisitos cumplidos de los 5 requisitos asignados, frente a una meta planificada del 100%. La gestión asociada dió cuenta de la publicación de 14 set de datos en el portal de datos abiertos en la página de Colciencias. 
Desde el cumplimiento de los requisitos de Gobierno en Línea, a 31 de diciembre de la vigencia se avanzó en un 94% los compromisos, logrando así un 98% de cumplimiento respecto a la meta establecida para el período. La gestión se enfocó en los siguientes aspectos:  proyecto de Gobierno Digital del PETI, matriz de lineamientos de arquitectura empresarial y de capacidades institucionales a la fecha de corte se han cumplido 74 de 92 lineamientos de arquitectura empresarial, y 10 de 11 lineamientos de capacidades institucionales.
En lo que refiere al Modelo de Gestión de Seguridad y Privacidad de la Información, durante el trimestre se avanzó con la actualización de las políticas de seguridad de la información, con al plan de capacitación y sensibilización y se realizó supervisión del contrato que se tiene con renata (IMPLEMENTACION DEL PROYECTO DE IPV6).</t>
  </si>
  <si>
    <r>
      <t xml:space="preserve">Con relación a la medición de la satisfacción de los usuarios que hacen uso de los servicios que ofrece Colciencias, con corte a 31 de diciembre se aplicó la encuesta de satisfacción,  3.028 contactos de los cuales respondieron 1.430. Los resultados dan cuenta de un cumplimiento de un 81% de satisfacción de los usuarios, que discriminado evidencia lo siguiente: l 29% de los encuestados indican ser Investigador/Científico, en cuanto al grupo de interés el 52% pertenece a la Academia. El 46% de los encuestados indica que el tipo de gestión solicitada es solicitud de información, 873 de los ciudadanos encuestados indican que tienen conocimiento de los tramites; siendo el más conocido para ellos la Indexación de revistas seguido por el reconocimiento de grupos.  
En promedio el 47% nos califican en 5 en temas de calidad del servicio y el 7% nos califican 1 con 1, siendo 1 la menor calificación y 5 la mejor puntuación al ítem evaluado. En promedio el 36% de los ciudadanos nos califican en 5 para canales de atención y 11% % nos califican 1 con 1, siendo 1 la menor calificación y 5 la mejor puntuación al ítem evaluado. El 58% de los encuestados considera que Colciencias, lidera los temas de Ciencia Tecnología e Innovación en el país. En cuanto a las causas de insatisfacción, el mayor inconveniente es los problemas de Scienti/ Sigep.
Para afianzar la cultura de servicio al ciudadano al interior de Colciencias, en el cuarto trimestre se realizó una capacitación de cómo y cuándo responder a través del módulo de PQRDS en Orfeo, se brindó información de forma teórica adicionalmente un ejercicio en tiempo real.
Con relación al monitoreo y seguimiento a PQRDS, a 31 de diciembre de la vigencia, se recibieron más 84.000, las cuales fueron resueltas en su totalidad. El canal a través del cual se instauran más solicitudes es el medio telefónico, seguido por correo electrónico. Los tiempos de respuesta a estas peticiones están entre 1 y 3 días.. El reporte detallada se encuentra publicado en el siguiente enlace: http://www.colciencias.gov.co/ciudadano.  El aplicativo para responder PQRDS en Orfeo se viene monitoreando constantemente con el fin de buscar mejoras que permitan un mejor funcionamiento. Durante el periodo en mención se realizó un el requerimiento a la Oficina TIC de ajuste inclusión campo número de convocatoria en temas de Publindex y Medición, el cual se encuentra en trámite por el desarrollador.
Los requisitos de transparencia por parte del programa dan cuenta de un cumplimiento del 100% de los requisitos asignados al Equipo de Atención al Ciudadano en el componente del índice de Transparencia de Entidades Públicas (ITEP), con un total de 37 requisitos cumplidos de 37 asignados, resultado que permite cumplir la meta para el perÍodo.
Frente a los requisitos de Gobierno en Línea, se mantiene el cumplimiento del 100%  de la meta establecida para la vigencia. Los resultados se han dado en términos del desarrollo de aspectos como: la evaluación de la satisfacción de los usuarios, habilitación de canales de atención PQRS a través de tecnologías móviles y la definición de una estructura para la atención al ciudadano en la Entidad.
</t>
    </r>
    <r>
      <rPr>
        <b/>
        <sz val="11"/>
        <rFont val="Segoe UI"/>
        <family val="2"/>
      </rPr>
      <t xml:space="preserve">
Evaluación/Recomendación</t>
    </r>
    <r>
      <rPr>
        <sz val="11"/>
        <rFont val="Segoe UI"/>
        <family val="2"/>
      </rPr>
      <t xml:space="preserve">
Teniendo en cuenta los resultados de la encuesta de satisfacción y dado que la meta establecido es retadora, es necesario evaluar la metodología de medición de la misma.</t>
    </r>
  </si>
  <si>
    <r>
      <t xml:space="preserve">Al cierre de la vigencia  de 2018 se lograron constituir 14 spin off, (empresas  de base tenológica de origenuniversitario) y cuatro contratos de licenciamientos producto del apoyo a las Oficina de Transferencia de Resultados de Investigación (OTRI). Con estos resultados se logra el 100% de la meta establecida para el período.  La gestión realizada en torno a lo antes expuesto, se describe brevemente a continuación:
</t>
    </r>
    <r>
      <rPr>
        <b/>
        <sz val="11"/>
        <rFont val="Segoe UI"/>
        <family val="2"/>
      </rPr>
      <t xml:space="preserve">
Contratos de licenciamiento: 
</t>
    </r>
    <r>
      <rPr>
        <sz val="11"/>
        <rFont val="Segoe UI"/>
        <family val="2"/>
      </rPr>
      <t xml:space="preserve">a) Contrato de licenciamiento tecnológico entre la universidad de la Salle y Productos Familia en la ciudad de Bogotá, en el sector de papel y cartón, con el acompañamiento de la OTRI de Connect Bogotá. Es importante aclarar que este contrato de licencia corresponde a una variación de una tecnología de residuos ya probada, pero ahora será en otra línea de producción (Protección femenina).
b) Contrato de licenciamiento tecnológico entre un investigador independiente y la empresa Metalmecánica Muñoz en la ciudad de Bucaramanga, en el sector metalmecánico y con el acompañamiento de la OTRI EO.
c) ) Contrato de licenciamiento tecnológico entre un investigador independiente y la empresa Abono Orgánico en la ciudad de Bucaramanga, y con el acompañamiento de la OTRI EO.
d) Contrato de licenciamiento tecnológico entre Zhana Solutions SAS y la empresa Servigenerales Ciudad de Tunja SA, con el acompañamiento de la OTRI Connect - Cundinamarca.
Lo anterior, en eol marco del programa de fortalecimiento de Oficinas de Transferencia de Resultados de Investigación- OTRI, actores encargados de ser organizaciones intermediarias en el proceso de transferencia de conocimiento y tecnología, estos actores facilitan el intercambio para lograr acuerdos entre la industria y las universidades, así como la búsqueda de presupuestos para desarrollar proyectos de co-creación.
Se trabajó con las cinco (5) Oficinas Regionales de Transferencia de Resultados de Investigación Cientech (Atlántico), Tecnnova UEE (Antioquia), Connect Bogotá (Cundinamarca), Estratégica Oriente (Santanderes) y Reddi (Valle del Cauca). Con el aporte y trabajo de estas oficinas se logró la meta planteada en el PND 2014-2018 de 15 contratos de licencia.
En este sentido, los esfuerzos realizados para el fortalecimiento de las OTRI, se consolidaron en “JOINN - Red Nacional de OTRI”, la cual cuenta con un modelo de gobernanza definida, con un portafolio de servicios, los cuales fueron piloteados con el acompañamiento del consultor Creative Lab proporcionado en el marco del proyecto de colaboración Colombo-Suizo COLIPRI y lograron establecer un acuerdo de colaboración y conformación para la red de Oficinas de Transferencia Tecnológica Alianza del Pacifico (OTTAP), constituida por Chile, Colombia, Perú y México, apoyados por la división CTI del Banco Interamericano de Desarrollo (BID), lo que permitirá un intercambio continuo de experiencias con el fin de fortalecerse mutuamente y aumentar las posibilidades de éxito en la generación de negocios tecnológicos de alcance global.
</t>
    </r>
    <r>
      <rPr>
        <b/>
        <sz val="11"/>
        <rFont val="Segoe UI"/>
        <family val="2"/>
      </rPr>
      <t>Spin Off</t>
    </r>
    <r>
      <rPr>
        <sz val="11"/>
        <rFont val="Segoe UI"/>
        <family val="2"/>
      </rPr>
      <t xml:space="preserve">
A 31 de diciembre de 2018, se reportaron 14 spin off, 4 aportadas desde el programa de transferencia de conocimiento y 11 por cuenta del Programa TIC, cuya distribución geográfica, da cuenta de 5 constituidas  en Antioquia,  3 en Bogotá,  2 en el departamento de Santander y 2 en Valle, 1 en Cauca  y Caldas. Estas OTRI. Cada una con marco legal para la constitución empresarial, estrategias de propiedad intelectual, estructuración de modelos de negocio en cada proyecto e institución.
</t>
    </r>
    <r>
      <rPr>
        <b/>
        <sz val="11"/>
        <rFont val="Segoe UI"/>
        <family val="2"/>
      </rPr>
      <t>Evaluación/Recomendación
Los resultados dan cuenta del cumplimiento del 100%  de la meta establecida para la vigencia. Se resaltan los resultados alcanzados en el cuatrienio. Se recomienda dar continuidad en el programa dadas las apuestas  respecto a este tema de acuerdo a las apuestas del PND 2018-2022.</t>
    </r>
    <r>
      <rPr>
        <sz val="11"/>
        <rFont val="Segoe UI"/>
        <family val="2"/>
      </rPr>
      <t xml:space="preserve">
</t>
    </r>
  </si>
  <si>
    <t xml:space="preserve">En el periodo comprendido entre el 1 de enero y 30 de diciembre de 2018, se indexaron al Sistema de Información sobre Biodiversidad (SiB Colombia), un total de 625.956 nuevos registros de especies en el GBIF de los cuales 165.587 corresponden a resultados de las expediciones Bio y 100.396 hacen parte de los resultados de la iniciativa de fortalecimiento de Colecciones. Los registros producto de las expediciones, se asocian a la contribución en la incorporación de los datos por parte de entidades tales como Instituto de Investigación de Recursos Biológicos Alexander von Humboldt, la Fundación Chimbilako, la Corporación Autónoma Regional de las cuencas de los ríos Negro y Nare - CORNARE, la Fundación Ecotrópico Colombia, la Corporación para el desarrollo sostenible del área de manejo especial La Macarena ¿ CORMACARENA, Corporación Autónoma Regional de los Valles del Sinú y del San Jorge-CVS, el Instituto Amazónico de Investigaciones Científicas Sinchi, Universidad de Ciencias Aplicadas y Ambientales (U.D.C.A), la Asociación para el estudio y conservación de las aves acuáticas en Colombia, Instituto de Investigaciones Ambientales del Pacifico John Von Neumann (IIAP), Asociación Colombiana de Ictiólgos, la Fundación Pantera Colombia, Instituto de Investigaciones Marinas y Costeras- INVEMAR y la Universidad Nacional de Colombia.
Con relación al fortalecimiento de colecciones, los registros en el primer semestre fueron menores a los esperados, dada la dinámica de publicación de datos que está a cargo de diversas entidades a nivel nacional, las cuales manejan diferentes frecuencias de tiempo para la inclusión de datos en la plataforma.   Considerando que el registro de información asociada a ejemplares no es constante o permanente y que también depende de la asignación de recursos específicos al fortalecimiento de colecciones a nivel nacional no logró cumplir proyección inicial.
A cierre de la vigencia, se llevaron a cabo un total de 9 expediciones de las 9 comprometidas , logrando el 100% de la meta establecida para el período. Las expediciones que se realizaron en 2018  de manera exitosa corresponden en orden cronológico a: Apaporis, Boyacá, Chingaza, Sumapaz, y Parque Nacional los Nevados, Cacao Bio, Anorí, En los pasos de Triana: Ruta Bogotá-Buenaventura e Isla Cayo Albuquerque. Debe destacarse la expedición Anorí a cargo de la dada su importancia en el marco del postconflicto ya que en ésta participaron 15 excombatientes los cuales aportarán a los resultados derivados de la salida de campo. 
Con relación al fortalecimiento de colecciones, en el período analizado se continúa con la ejecución de 3 convenios que están relacionados con el Fortalecimiento a Colecciones Biológicas que incluyen: el firmado con el Instituto Humboldt y los dos en ejecución por el Instituto de Ciencias Naturales de la Universidad Nacional de Colombia. 
En lo que refiere a la gestión regional, desde el Programa Bio se han realizado acciones para dinamizar la presentación de proyectos ya incluidos en los PAED departamentales. De igual manera, se han implementado gestiones con los departamentos de: Nariño, Valle del Cauca, Vichada, Caquetá, Chocó, Meta Y Bolívar. Se ha participado en mesas de trabajo y se ha realizado retroalimentación técnica con miras a agilizar la formulación y presentación de los proyectos, sin embargo, la necesidad de actualizar requisitos por cambio de año, así como por las observaciones de la Secretaría Técnica, han retrasado en proceso de presentación. Para la vigencia  se realizaron las gestiones necesarias para apoyar los departamentos de Casanare y Valle del Cauca en la revisión del documento técnico, no obstante, la presentación de los demás requisitos solicitados por la Secretaría Técnica del OCAD del Fondo de Ciencia, Tecnología e Innovación para la verificación de requisitos tal y como está plasmado en el Acuerdo 045 de 2017 de la Comisión Rectora del SGR, es una gestión exógena a Frente a la meta de 56 proyectos apoyados, dentro de los cuales, 25 corresponden a proyectos de innovación y 31 a proyectos de investigación y desarrollo. , desde el Porograma Colombia Bio, se realizó la publicación de cuatro convocatorias a saber: Nº 794 y 795 del Departamento de Boyacá y las Nº 802 y 803 del Departamento de Cundinamarca. 
Para el caso de las convocatorias del Departamento de Boyacá, los procesos establecidos en el cronograma se cumplieron a cabalidad, en este sentido, respecto a la Convocatoria 794, se realizaron los procesos de elaboración de las minutas y remisión a las universidades beneficiadas para su revisión, legalización y perfeccionamiento. Por otra parte, para el departamento, también de publicó la Convocatoria 827 de 2018 para la participación de los proyectos de innovación, toda vez que la convocatoria 795 resultó desierta. En este sentido, se realizaron los procesos de verificación de requisitos, ajuste de requisitos, evaluación por pares y paneles de evaluación.
Por otra parte, las convocatorias del Departamento de Cundinamarca (802 y 803) se encontraban en los procesos de elaboración de minutas y remisión de éstas a las entidades beneficiadas.
Adicionalmente, se publicaron las convocatorias 828 y 829, las cuales se consideran como las segundas etapas de las convocatorias 802 y 803, con el fin de lograr la meta establecida. Para las segundas etapas se desarrollaron las siguientes actividades: verificación de requisitos, ajuste de requisitos, evaluación por pares y paneles de evaluación.
Recomendación
Teniendo en cuenta que Colombia Bio se ha covnertido en un proyecto estratégico para el país, se recomienda darle continuidad del mismo en el marco de la planeación estratégica del cuatrienio 2019-2022 y basados en los compromisos que en temas de Crecimiento Verde le atañen a Colciencias.
diciones para la legalización de los contratos. Dicha actividad tuvo un plazo desde el 22 de agosto hasta el 12 de septiembre, fecha en la cual las entidades beneficiarias remitieron los documentos de soporte solicitados.
Una vez recibida la documentación, se procedió a su revisión y elaboración de los memorandos de solicitud de los contratos. Esta solicitud fue remitida a través de Orfeo y MGI a la oficina de Secretaría General. En este sentido, en conjunto con dicha área y Colombia BIO se revisó uno a uno los memorandos y los soportes, y se realizó la remisión a la Fiduciaria para la elaboración de los contratos, los cuales al mes de septiembre se encontraban en trámite.
Por lo anterior, para el periodo comprendido entre el 01 de octubre y el 31 de diciembre de 2018 se cuenta con una la lista de proyectos elegibles de 29 proyectos (12 proyectos de I+D del Departamento de Boyacá, 12 proyectos de I+D del Departamento de Cundinamarca y 5 proyectos de Innovación del Departamento de Cundinamarca). Y segundas etapas de las convocatorias, que permitirán dar cumplimiento a las metas establecidas.
Así las cosas, en el periodo en mención, para el cumplimiento de las metas establecidas, se cuenta con 29 proyectos incluidos en el banco definitivo de elegibles para continuar con los procesos de contratación y financiación, no obstante, no se logra toda la meta establecida, de 56 proyectos apoyados. Sin embargo, se espera que con los proyectos que sean incluidos en los bancos definitivos de las convocatorias 827, 828 y 829, se cumplan dichas metas.
Según el comportamiento del indicador, no se cumple con la tendencia esperada, sin embargo, el riesgo de incumplimiento se compensa con el desarrollo de cada una de las actividades para los procesos de legalización y perfeccionamiento de los contratos, las cuales una vez finalizadas, permitirán el cumplimiento de las metas. A
Conclusión: De acuerdo con el análisis y teniendo en cuenta que no se logra el cumplimiento de la meta establecida, fue necesario tomar acciones correctivas y preventivas, es así como se realizaron las gestiones al interior de Colciencias para publicar las segundas etapas de las convocatorias.
17/ene/2019 12:55
 </t>
  </si>
  <si>
    <r>
      <rPr>
        <b/>
        <sz val="11"/>
        <rFont val="Segoe UI"/>
        <family val="2"/>
      </rPr>
      <t xml:space="preserve">1.667 </t>
    </r>
    <r>
      <rPr>
        <sz val="11"/>
        <rFont val="Segoe UI"/>
        <family val="2"/>
      </rPr>
      <t>becas para la formación de maestría y doctorado nacional y exterior financiados por Colciencias y otras entidades</t>
    </r>
  </si>
  <si>
    <r>
      <rPr>
        <b/>
        <sz val="11"/>
        <rFont val="Segoe UI"/>
        <family val="2"/>
      </rPr>
      <t>287</t>
    </r>
    <r>
      <rPr>
        <sz val="11"/>
        <rFont val="Segoe UI"/>
        <family val="2"/>
      </rPr>
      <t xml:space="preserve"> proyectos de investigación apoyados</t>
    </r>
  </si>
  <si>
    <t xml:space="preserve">Con corte al 31 de diciembre de 2018, se registraron 13.848 artículos, valor que alcanza la meta establecida al corte del cuarto trimestre. El comportamiento puede asociarse a la tendencia de publicación en el segundo semestre y tercer trimestre por parte por colombianos en revistas científicas de alto impactos incluidas en SCOPUS y Publindex. Es importante anotar que esta medición es un conteo de los artículos publicados en SCopus y el aumento o disminución de los mismos no obedece a una gestión directa de la entidad.
El balance por áreas de conocimiento de los artículos registrados, es la siguiente: el 13,6% corresponde al área de Medicina, 12,4% Ciencias Sociales, 10,1% de Ingeniería, 7,2% Agricultura y Ciencias Biológicas, 7,0% Ciencias de la Computación, 5,3% Física y Astronomía, entre otras áreas. Vale resaltar que, en la clasificación, Scopus utiliza 27 áreas temáticas, en las cuales las revistas al estar multicategorizadas genera que un mismo artículo puede estar contabilizado en más de un área temática.
En cuanto a la revisión del modelo de reconocimiento de grupos de investigación e investigadores, al respecto de esta iniciativa se presentó el 30 de noviembre de 2018 la propuesta de la actualización del Modelo de medición de grupos de investigación, desarrollo tecnológico o de innovación y de reconocimiento de investigadores del Sistema Nacional de Ciencia, Tecnología e Innovación el cual presenta cambios de la siguiente forma: 
Definición de la ventana de observación para la Convocatoria de 2018: 1 de enero de 2014 - 31 de Diciembre de 2018, se incluyó la clasificación de Publindex para las categorías de artículos del Modelo de Reconocimiento y Medición de Grupos de Investigación e Investigadores, se ajustó el requerimiento de homologación de nivel de formación para los Investigadores Asociados, se ajustaron las formaciones y homologaciones para Investigadores Junior, se incluyeron especificaciones y homologaciones para la clasificaciones de Grupos de Investigación A1 y A, y se incluyeron especificaciones y homologaciones para la clasificaciones de Investigadores Sénior y Asociado, se realizaron cambios en la tipología de producción de Consultoría científica y tecnológica, se incluyeron los productos: notas científicas, poblaciones mejoradas de razas pecuarias, colección científica, nuevo registro científico, producto nutracéutico, protocolos de vigilancia epidemiológica, conceptos técnicos, nuevas secuencias genéticas y generación de contenido de audio (resultado del trabajo con la Mesa técnica de Institutos públicos de investigación sobre el Modelo de Grupos e Investigadores), se ajustaron las ponderaciones de algunos productos de desarrollo tecnológico e innovación, se ajustó  el rol tecnológico en el GrupLAC del segundo líder del grupo de investigación y se especificó que todo producto que alcance la máxima categoría de calidad en una Convocatoria no podrá modificarse. Estos cambios se dieron en el marco de la apertura de la convocatoria 833 de 2018 el 30 de noviembre de 2018. 
Durante el tercer trimestre y luego de haber revisado el modelo de reconocimiento de grupos de investigación e investigadores, con la elaboración de un documento de análisis de la convocatoria 781 de 2017, en la cual se presentó información en una ventana de observación comprendida entre el 1 de enero de 2012 y el 31 de diciembre de 2016 y a partir de los datos registrados por las investigadores de los cuales 1.976.092 cumplieron con los criterios de existencia y calidad, se revisó y analizó la información para simular distintos escenarios en donde se dieron ajustes al Modelo de Grupos de Investigación e Investigadores en 2018, se elaboró la versión final de análisis de ajustes en el Modelo de Grupos de Investigación e Investigadores en 2018, con las siguientes variables: 1.Resultados de la convocatoria 781 de 2017, 2.Análisis de comportamiento entre las convocatorias, 3.Simulaciones de escenarios  para los ajustes al Modelo de reconocimiento y medición de grupos e investigadores. 4. Test de medias para comportamiento de la clasificación de grupos de investigación por Grandes Áreas del Conocimiento y Áreas. 5. Conclusiones del análisis, 6. Recomendaciones, 7. Cuatro (4) Anexos con información de soporte.
De los productos mencionados la mayor proporción se concentró en los asociados a la Apropiación Social del Conocimiento, seguido por los productos de Formación de Recurso Humano. En tercer lugar se ubican los productos de Nuevo Conocimiento correspondientes en su mayoría artículos de investigación. 
Durante el período comprendido entre 1 de julio y septiembre 30 de 2018 se adelantó el análisis del modelo de reconocimiento y medición de grupos de investigación e investigadores por medio de simulación de distintos escenarios y de ajustes a requerimientos, con el propósito de realizar ajustes al Modelo de Reconocimiento y Medición de Grupos de investigación,  sin embargo debido a nuevos lineamientos para tener en cuenta a partir de una reunión con los representantes de los institutos públicos de investigación quienes solicitaron un ajuste de productos propuestos, adicionalmente se están realizando actualizaciones en el sistema ScienTI. 
Teniendo en cuenta las condiciones para los investigadores, se realizó el proceso de validación de las condiciones de las personas registradas en el aplicativo CvLAC, que autorizaron el uso de la información y fueron avaladas por las instituciones. En el conteo básico de las hojas de vida de investigadores se presentaron un total de 73.147 currículos certificados y avalados por al menos una institución; de manera que con este número de registros llevó a cabo la categorización así: Investigador Senior 1.707; Asociado 3.595; Junior 7.595; Estudiante de Doctorado 5.860; Estudiante de Maestría o especialidad clínica  6.269; Estudiante de Pregrado 3.799; Joven Investigador 247; Integrante Vinculado con Doctorado 4.010; Integrante Vinculado con Maestría o Especialidad clínica 17.355; Integrante Vinculado con Especialización 3.562; Integrante Vinculado con Pregrado 9.596; Integrante Vinculado 9.184 y Sin Categoría 229.
Frente a la Ventanilla Abierta para el reconocimiento de actores del SNCTI (Nueva Política) centros de investigación durante el cuarto trimestre del año se tramitaron 9 solicitudes de reconocimiento de centros de investigación para un total de 40 solicitudes recibidas durante el año 2.019. El 100% de las solicitudes recibieron el debido trámite de acuerdo con los establecido en el Procedimiento para el reconocimiento de actores del sistema, y por lo tanto se obtuvo el siguiente resultado:
29 centros de investigación reconocidos
9 Solicitudes rechazadas por incumplimiento de requisitos mínimos
2 solicitudes tramitadas con evaluación negativa (no reconocidos)
4 solicitudes en proceso de evaluación
Queda formalizada y actualizada la guía para el reconocimiento y sus anexos, así como el formato de evaluación en el primer semestre de 2018.
Al respecto de la Evaluación en la implementación de PURE en Colciencias se determina la finalización del piloto y se concluye la ejecución de los recursos </t>
  </si>
  <si>
    <t>Versión presentada ante el COMDIR del 05 de marzo de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</si>
</sst>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 #,##0_-;_-* &quot;-&quot;_-;_-@_-"/>
    <numFmt numFmtId="165" formatCode="0.0%"/>
  </numFmts>
  <fonts count="23" x14ac:knownFonts="1">
    <font>
      <sz val="11"/>
      <color theme="1"/>
      <name val="Calibri"/>
      <family val="2"/>
      <scheme val="minor"/>
    </font>
    <font>
      <sz val="11"/>
      <color theme="1"/>
      <name val="Calibri"/>
      <family val="2"/>
      <scheme val="minor"/>
    </font>
    <font>
      <b/>
      <sz val="16"/>
      <name val="Segoe UI"/>
      <family val="2"/>
    </font>
    <font>
      <b/>
      <u/>
      <sz val="16"/>
      <name val="Segoe UI"/>
      <family val="2"/>
    </font>
    <font>
      <sz val="12"/>
      <color theme="1"/>
      <name val="Segoe UI"/>
      <family val="2"/>
    </font>
    <font>
      <sz val="11"/>
      <color theme="1"/>
      <name val="Segoe UI"/>
      <family val="2"/>
    </font>
    <font>
      <sz val="11"/>
      <name val="Segoe UI"/>
      <family val="2"/>
    </font>
    <font>
      <b/>
      <sz val="14"/>
      <color theme="1"/>
      <name val="Segoe UI"/>
      <family val="2"/>
    </font>
    <font>
      <sz val="14"/>
      <color theme="1"/>
      <name val="Segoe UI"/>
      <family val="2"/>
    </font>
    <font>
      <b/>
      <sz val="11"/>
      <name val="Segoe UI"/>
      <family val="2"/>
    </font>
    <font>
      <sz val="12"/>
      <name val="Segoe UI"/>
      <family val="2"/>
    </font>
    <font>
      <b/>
      <sz val="11"/>
      <color theme="1"/>
      <name val="Segoe UI"/>
      <family val="2"/>
    </font>
    <font>
      <b/>
      <sz val="16"/>
      <color theme="0"/>
      <name val="Segoe UI"/>
      <family val="2"/>
    </font>
    <font>
      <b/>
      <sz val="14"/>
      <color theme="0"/>
      <name val="Segoe UI"/>
      <family val="2"/>
    </font>
    <font>
      <b/>
      <sz val="12"/>
      <color theme="0"/>
      <name val="Segoe UI"/>
      <family val="2"/>
    </font>
    <font>
      <b/>
      <sz val="12"/>
      <name val="Segoe UI"/>
      <family val="2"/>
    </font>
    <font>
      <sz val="12"/>
      <color rgb="FFFF0000"/>
      <name val="Segoe UI"/>
      <family val="2"/>
    </font>
    <font>
      <b/>
      <sz val="16"/>
      <color theme="1"/>
      <name val="Segoe UI"/>
      <family val="2"/>
    </font>
    <font>
      <b/>
      <sz val="14"/>
      <name val="Segoe UI"/>
      <family val="2"/>
    </font>
    <font>
      <b/>
      <i/>
      <sz val="11"/>
      <name val="Segoe UI"/>
      <family val="2"/>
    </font>
    <font>
      <sz val="11"/>
      <color rgb="FFFF0000"/>
      <name val="Segoe UI"/>
      <family val="2"/>
    </font>
    <font>
      <i/>
      <sz val="11"/>
      <name val="Segoe UI"/>
      <family val="2"/>
    </font>
    <font>
      <sz val="11"/>
      <color theme="0" tint="-0.249977111117893"/>
      <name val="Arial Narrow"/>
      <family val="2"/>
    </font>
  </fonts>
  <fills count="5">
    <fill>
      <patternFill patternType="none"/>
    </fill>
    <fill>
      <patternFill patternType="gray125"/>
    </fill>
    <fill>
      <patternFill patternType="solid">
        <fgColor theme="0"/>
        <bgColor indexed="64"/>
      </patternFill>
    </fill>
    <fill>
      <patternFill patternType="solid">
        <fgColor rgb="FF00919B"/>
        <bgColor indexed="64"/>
      </patternFill>
    </fill>
    <fill>
      <patternFill patternType="solid">
        <fgColor rgb="FFC4BD97"/>
        <bgColor rgb="FF000000"/>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s>
  <cellStyleXfs count="3">
    <xf numFmtId="0" fontId="0" fillId="0" borderId="0"/>
    <xf numFmtId="9" fontId="1" fillId="0" borderId="0" applyFont="0" applyFill="0" applyBorder="0" applyAlignment="0" applyProtection="0"/>
    <xf numFmtId="164" fontId="1" fillId="0" borderId="0" applyFont="0" applyFill="0" applyBorder="0" applyAlignment="0" applyProtection="0"/>
  </cellStyleXfs>
  <cellXfs count="98">
    <xf numFmtId="0" fontId="0" fillId="0" borderId="0" xfId="0"/>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6" fillId="2" borderId="1" xfId="0" applyFont="1" applyFill="1" applyBorder="1" applyAlignment="1">
      <alignment horizontal="center" vertical="center" wrapText="1"/>
    </xf>
    <xf numFmtId="0" fontId="4" fillId="2" borderId="0" xfId="0" applyFont="1" applyFill="1" applyAlignment="1">
      <alignment wrapText="1"/>
    </xf>
    <xf numFmtId="0" fontId="10" fillId="2" borderId="0" xfId="0" applyFont="1" applyFill="1" applyAlignment="1">
      <alignment wrapText="1"/>
    </xf>
    <xf numFmtId="0" fontId="5" fillId="2" borderId="1" xfId="0" applyFont="1" applyFill="1" applyBorder="1" applyAlignment="1">
      <alignment horizontal="center" vertical="center" wrapText="1"/>
    </xf>
    <xf numFmtId="0" fontId="10" fillId="2" borderId="0" xfId="0" applyFont="1" applyFill="1" applyAlignment="1">
      <alignment horizontal="left" vertical="center" wrapText="1"/>
    </xf>
    <xf numFmtId="0" fontId="10" fillId="2" borderId="0" xfId="0" applyNumberFormat="1" applyFont="1" applyFill="1" applyBorder="1" applyAlignment="1">
      <alignment wrapText="1"/>
    </xf>
    <xf numFmtId="0" fontId="5" fillId="0" borderId="0" xfId="0" applyFont="1" applyFill="1" applyAlignment="1">
      <alignment wrapText="1"/>
    </xf>
    <xf numFmtId="9" fontId="5" fillId="0" borderId="0" xfId="1" applyFont="1" applyFill="1" applyAlignment="1">
      <alignment wrapText="1"/>
    </xf>
    <xf numFmtId="0" fontId="2" fillId="0" borderId="0" xfId="0" applyFont="1" applyFill="1" applyBorder="1" applyAlignment="1">
      <alignment horizontal="left" vertical="center" wrapText="1"/>
    </xf>
    <xf numFmtId="0" fontId="10" fillId="2" borderId="0" xfId="0" applyFont="1" applyFill="1" applyAlignment="1">
      <alignment horizontal="center" vertical="center" wrapText="1"/>
    </xf>
    <xf numFmtId="0" fontId="10" fillId="2" borderId="0" xfId="0" applyFont="1" applyFill="1" applyAlignment="1">
      <alignment horizontal="center" wrapText="1"/>
    </xf>
    <xf numFmtId="0" fontId="2" fillId="0" borderId="0" xfId="0" applyFont="1" applyFill="1" applyBorder="1" applyAlignment="1">
      <alignment horizontal="center" vertical="center" wrapText="1"/>
    </xf>
    <xf numFmtId="0" fontId="4" fillId="2" borderId="0" xfId="0" applyFont="1" applyFill="1" applyAlignment="1">
      <alignment horizontal="center" wrapText="1"/>
    </xf>
    <xf numFmtId="0" fontId="5" fillId="0" borderId="0" xfId="0" applyFont="1" applyFill="1" applyAlignment="1">
      <alignment vertical="center" wrapText="1"/>
    </xf>
    <xf numFmtId="0" fontId="5" fillId="0" borderId="0" xfId="0" applyFont="1" applyFill="1" applyBorder="1" applyAlignment="1">
      <alignment wrapText="1"/>
    </xf>
    <xf numFmtId="0" fontId="5" fillId="0" borderId="0" xfId="0" applyFont="1" applyFill="1" applyBorder="1" applyAlignment="1">
      <alignment vertical="center" wrapText="1"/>
    </xf>
    <xf numFmtId="0" fontId="4" fillId="0" borderId="0" xfId="0" applyFont="1" applyFill="1" applyAlignment="1">
      <alignment wrapText="1"/>
    </xf>
    <xf numFmtId="0" fontId="16" fillId="2" borderId="0" xfId="0" applyFont="1" applyFill="1" applyAlignment="1">
      <alignment wrapText="1"/>
    </xf>
    <xf numFmtId="0" fontId="5" fillId="0" borderId="0" xfId="0" applyFont="1" applyFill="1" applyAlignment="1">
      <alignment horizontal="center" vertical="center" wrapText="1"/>
    </xf>
    <xf numFmtId="9" fontId="5" fillId="0" borderId="0" xfId="1" applyFont="1" applyFill="1" applyAlignment="1">
      <alignment horizontal="center" vertical="center" wrapText="1"/>
    </xf>
    <xf numFmtId="0" fontId="4" fillId="2" borderId="0" xfId="0" applyFont="1" applyFill="1" applyAlignment="1">
      <alignment horizontal="center" vertical="center" wrapText="1"/>
    </xf>
    <xf numFmtId="0" fontId="5" fillId="0" borderId="0" xfId="0" applyFont="1" applyFill="1" applyAlignment="1">
      <alignment horizontal="justify" vertical="center" wrapText="1"/>
    </xf>
    <xf numFmtId="0" fontId="15" fillId="4" borderId="10" xfId="0" applyFont="1" applyFill="1" applyBorder="1" applyAlignment="1">
      <alignment horizontal="center" vertical="center" wrapText="1"/>
    </xf>
    <xf numFmtId="0" fontId="14" fillId="3" borderId="10" xfId="0" applyNumberFormat="1" applyFont="1" applyFill="1" applyBorder="1" applyAlignment="1">
      <alignment horizontal="center" vertical="center" wrapText="1"/>
    </xf>
    <xf numFmtId="9" fontId="6" fillId="0" borderId="13" xfId="1" applyFont="1" applyFill="1" applyBorder="1" applyAlignment="1">
      <alignment horizontal="center" vertical="center" wrapText="1"/>
    </xf>
    <xf numFmtId="3" fontId="6" fillId="0" borderId="13" xfId="0" applyNumberFormat="1" applyFont="1" applyFill="1" applyBorder="1" applyAlignment="1">
      <alignment horizontal="center" vertical="center" wrapText="1"/>
    </xf>
    <xf numFmtId="0" fontId="2" fillId="0" borderId="0" xfId="0" applyFont="1" applyFill="1" applyBorder="1" applyAlignment="1">
      <alignment vertical="center" wrapText="1"/>
    </xf>
    <xf numFmtId="0" fontId="6" fillId="0" borderId="13" xfId="0" quotePrefix="1" applyFont="1" applyFill="1" applyBorder="1" applyAlignment="1">
      <alignment vertical="center" wrapText="1"/>
    </xf>
    <xf numFmtId="165" fontId="6" fillId="0" borderId="13" xfId="1" applyNumberFormat="1" applyFont="1" applyFill="1" applyBorder="1" applyAlignment="1">
      <alignment horizontal="center" vertical="center" wrapText="1"/>
    </xf>
    <xf numFmtId="165" fontId="6" fillId="0" borderId="13" xfId="0" applyNumberFormat="1" applyFont="1" applyFill="1" applyBorder="1" applyAlignment="1">
      <alignment horizontal="center" vertical="center" wrapText="1"/>
    </xf>
    <xf numFmtId="0" fontId="6" fillId="0" borderId="13" xfId="0" applyFont="1" applyFill="1" applyBorder="1" applyAlignment="1">
      <alignment horizontal="left" vertical="center" wrapText="1"/>
    </xf>
    <xf numFmtId="0" fontId="6" fillId="0" borderId="13" xfId="0" applyFont="1" applyFill="1" applyBorder="1" applyAlignment="1">
      <alignment vertical="center" wrapText="1"/>
    </xf>
    <xf numFmtId="10" fontId="6" fillId="0" borderId="13" xfId="0" applyNumberFormat="1" applyFont="1" applyFill="1" applyBorder="1" applyAlignment="1">
      <alignment horizontal="center" vertical="center" wrapText="1"/>
    </xf>
    <xf numFmtId="0" fontId="10" fillId="0" borderId="0" xfId="0" applyFont="1" applyFill="1" applyAlignment="1">
      <alignment wrapText="1"/>
    </xf>
    <xf numFmtId="0" fontId="10" fillId="0" borderId="0" xfId="0" applyFont="1" applyFill="1" applyAlignment="1">
      <alignment horizontal="center" wrapText="1"/>
    </xf>
    <xf numFmtId="0" fontId="10" fillId="0" borderId="0" xfId="0" applyFont="1" applyFill="1" applyAlignment="1">
      <alignment horizontal="center" vertical="center" wrapText="1"/>
    </xf>
    <xf numFmtId="9" fontId="20" fillId="0" borderId="13" xfId="1" applyFont="1" applyFill="1" applyBorder="1" applyAlignment="1">
      <alignment horizontal="center" vertical="center" wrapText="1"/>
    </xf>
    <xf numFmtId="0" fontId="6" fillId="0" borderId="13" xfId="0" applyNumberFormat="1" applyFont="1" applyFill="1" applyBorder="1" applyAlignment="1">
      <alignment horizontal="center" vertical="center" wrapText="1"/>
    </xf>
    <xf numFmtId="3" fontId="6" fillId="0" borderId="13" xfId="1" applyNumberFormat="1" applyFont="1" applyFill="1" applyBorder="1" applyAlignment="1">
      <alignment horizontal="center" vertical="center" wrapText="1"/>
    </xf>
    <xf numFmtId="0" fontId="6" fillId="0" borderId="13" xfId="0" quotePrefix="1" applyFont="1" applyFill="1" applyBorder="1" applyAlignment="1">
      <alignment horizontal="justify" vertical="center" wrapText="1"/>
    </xf>
    <xf numFmtId="0" fontId="6" fillId="0" borderId="13" xfId="0" applyFont="1" applyFill="1" applyBorder="1" applyAlignment="1">
      <alignment horizontal="justify" vertical="center" wrapText="1"/>
    </xf>
    <xf numFmtId="0" fontId="6" fillId="0" borderId="13" xfId="0" applyFont="1" applyFill="1" applyBorder="1" applyAlignment="1">
      <alignment horizontal="center" vertical="center" wrapText="1"/>
    </xf>
    <xf numFmtId="9" fontId="6" fillId="0" borderId="13" xfId="0" applyNumberFormat="1" applyFont="1" applyFill="1" applyBorder="1" applyAlignment="1">
      <alignment horizontal="center" vertical="center" wrapText="1"/>
    </xf>
    <xf numFmtId="0" fontId="22" fillId="2" borderId="5" xfId="0" applyFont="1" applyFill="1" applyBorder="1" applyAlignment="1">
      <alignment horizontal="center" wrapText="1"/>
    </xf>
    <xf numFmtId="0" fontId="22" fillId="2" borderId="0" xfId="0" applyFont="1" applyFill="1" applyBorder="1" applyAlignment="1">
      <alignment horizontal="center"/>
    </xf>
    <xf numFmtId="0" fontId="22" fillId="2" borderId="6" xfId="0" applyFont="1" applyFill="1" applyBorder="1" applyAlignment="1">
      <alignment horizontal="center"/>
    </xf>
    <xf numFmtId="0" fontId="6" fillId="0" borderId="13" xfId="0" applyFont="1" applyFill="1" applyBorder="1" applyAlignment="1">
      <alignment horizontal="center" vertical="center" wrapText="1"/>
    </xf>
    <xf numFmtId="9" fontId="6" fillId="0" borderId="13" xfId="0" applyNumberFormat="1" applyFont="1" applyFill="1" applyBorder="1" applyAlignment="1">
      <alignment horizontal="center" vertical="center"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7" fillId="0" borderId="15"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21" xfId="0" applyFont="1" applyBorder="1" applyAlignment="1">
      <alignment horizontal="center" vertical="center"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6" fillId="0" borderId="13" xfId="0" applyFont="1" applyFill="1" applyBorder="1" applyAlignment="1">
      <alignment horizontal="justify" vertical="center" wrapText="1"/>
    </xf>
    <xf numFmtId="0" fontId="6" fillId="0" borderId="13" xfId="0" quotePrefix="1" applyNumberFormat="1" applyFont="1" applyFill="1" applyBorder="1" applyAlignment="1">
      <alignment horizontal="justify" vertical="center" wrapText="1"/>
    </xf>
    <xf numFmtId="0" fontId="6" fillId="0" borderId="13" xfId="0" applyNumberFormat="1" applyFont="1" applyFill="1" applyBorder="1" applyAlignment="1">
      <alignment horizontal="justify" vertical="center" wrapText="1"/>
    </xf>
    <xf numFmtId="0" fontId="4" fillId="2" borderId="15" xfId="0" applyFont="1" applyFill="1" applyBorder="1" applyAlignment="1">
      <alignment horizontal="center" wrapText="1"/>
    </xf>
    <xf numFmtId="0" fontId="4" fillId="2" borderId="17" xfId="0" applyFont="1" applyFill="1" applyBorder="1" applyAlignment="1">
      <alignment horizontal="center" wrapText="1"/>
    </xf>
    <xf numFmtId="0" fontId="4" fillId="2" borderId="12" xfId="0" applyFont="1" applyFill="1" applyBorder="1" applyAlignment="1">
      <alignment horizontal="center" wrapText="1"/>
    </xf>
    <xf numFmtId="0" fontId="4" fillId="2" borderId="18" xfId="0" applyFont="1" applyFill="1" applyBorder="1" applyAlignment="1">
      <alignment horizontal="center" wrapText="1"/>
    </xf>
    <xf numFmtId="0" fontId="4" fillId="2" borderId="19" xfId="0" applyFont="1" applyFill="1" applyBorder="1" applyAlignment="1">
      <alignment horizontal="center" wrapText="1"/>
    </xf>
    <xf numFmtId="0" fontId="4" fillId="2" borderId="21" xfId="0" applyFont="1" applyFill="1" applyBorder="1" applyAlignment="1">
      <alignment horizontal="center" wrapText="1"/>
    </xf>
    <xf numFmtId="0" fontId="13" fillId="3" borderId="10" xfId="0" applyNumberFormat="1" applyFont="1" applyFill="1" applyBorder="1" applyAlignment="1">
      <alignment horizontal="center" vertical="center" wrapText="1"/>
    </xf>
    <xf numFmtId="0" fontId="13" fillId="3" borderId="11"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6" fillId="0" borderId="14" xfId="0" quotePrefix="1" applyFont="1" applyFill="1" applyBorder="1" applyAlignment="1">
      <alignment horizontal="justify" vertical="center" wrapText="1"/>
    </xf>
    <xf numFmtId="0" fontId="6" fillId="0" borderId="22" xfId="0" applyFont="1" applyFill="1" applyBorder="1" applyAlignment="1">
      <alignment horizontal="justify" vertical="center" wrapText="1"/>
    </xf>
    <xf numFmtId="0" fontId="6" fillId="0" borderId="14"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10" fillId="2" borderId="0" xfId="0" applyFont="1" applyFill="1" applyAlignment="1">
      <alignment horizontal="left" vertical="top" wrapText="1"/>
    </xf>
    <xf numFmtId="0" fontId="12" fillId="0" borderId="0"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3" fillId="3" borderId="1" xfId="0" applyNumberFormat="1" applyFont="1" applyFill="1" applyBorder="1" applyAlignment="1">
      <alignment horizontal="center" vertical="center" wrapText="1"/>
    </xf>
    <xf numFmtId="0" fontId="4" fillId="2" borderId="0" xfId="0" applyFont="1" applyFill="1" applyAlignment="1">
      <alignment horizontal="left" vertical="top" wrapText="1"/>
    </xf>
    <xf numFmtId="0" fontId="6" fillId="0" borderId="14" xfId="0" applyFont="1" applyFill="1" applyBorder="1" applyAlignment="1">
      <alignment horizontal="justify" vertical="top" wrapText="1"/>
    </xf>
    <xf numFmtId="0" fontId="6" fillId="0" borderId="23" xfId="0" applyFont="1" applyFill="1" applyBorder="1" applyAlignment="1">
      <alignment horizontal="justify" vertical="top" wrapText="1"/>
    </xf>
    <xf numFmtId="0" fontId="6" fillId="0" borderId="22" xfId="0" applyFont="1" applyFill="1" applyBorder="1" applyAlignment="1">
      <alignment horizontal="justify" vertical="top" wrapText="1"/>
    </xf>
    <xf numFmtId="0" fontId="6" fillId="0" borderId="13" xfId="0" quotePrefix="1" applyFont="1" applyFill="1" applyBorder="1" applyAlignment="1">
      <alignment horizontal="justify" vertical="center" wrapText="1"/>
    </xf>
    <xf numFmtId="0" fontId="5" fillId="0" borderId="0" xfId="0" applyFont="1" applyFill="1" applyBorder="1" applyAlignment="1">
      <alignment horizontal="center" vertical="center" wrapText="1"/>
    </xf>
    <xf numFmtId="0" fontId="4" fillId="0" borderId="0" xfId="0" applyFont="1" applyFill="1" applyAlignment="1">
      <alignment horizontal="left" vertical="center" wrapText="1"/>
    </xf>
  </cellXfs>
  <cellStyles count="3">
    <cellStyle name="Millares [0] 2" xfId="2" xr:uid="{00000000-0005-0000-0000-000000000000}"/>
    <cellStyle name="Normal" xfId="0" builtinId="0"/>
    <cellStyle name="Porcentaje" xfId="1"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4</xdr:col>
      <xdr:colOff>695325</xdr:colOff>
      <xdr:row>42</xdr:row>
      <xdr:rowOff>133350</xdr:rowOff>
    </xdr:from>
    <xdr:ext cx="76200" cy="438150"/>
    <xdr:sp macro="" textlink="">
      <xdr:nvSpPr>
        <xdr:cNvPr id="2" name="Text Box 5">
          <a:extLst>
            <a:ext uri="{FF2B5EF4-FFF2-40B4-BE49-F238E27FC236}">
              <a16:creationId xmlns:a16="http://schemas.microsoft.com/office/drawing/2014/main" id="{00000000-0008-0000-0000-000002000000}"/>
            </a:ext>
          </a:extLst>
        </xdr:cNvPr>
        <xdr:cNvSpPr txBox="1">
          <a:spLocks noChangeArrowheads="1"/>
        </xdr:cNvSpPr>
      </xdr:nvSpPr>
      <xdr:spPr bwMode="auto">
        <a:xfrm>
          <a:off x="3743325" y="9553575"/>
          <a:ext cx="76200" cy="438150"/>
        </a:xfrm>
        <a:prstGeom prst="rect">
          <a:avLst/>
        </a:prstGeom>
        <a:solidFill>
          <a:srgbClr val="FFFFFF"/>
        </a:solidFill>
        <a:ln w="9525">
          <a:noFill/>
          <a:miter lim="800000"/>
          <a:headEnd/>
          <a:tailEnd/>
        </a:ln>
      </xdr:spPr>
      <xdr:txBody>
        <a:bodyPr wrap="none" lIns="91440" tIns="45720" rIns="91440" bIns="45720" anchor="t" upright="1">
          <a:spAutoFit/>
        </a:bodyPr>
        <a:lstStyle/>
        <a:p>
          <a:pPr algn="l" rtl="0">
            <a:defRPr sz="1000"/>
          </a:pP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xdr:txBody>
    </xdr:sp>
    <xdr:clientData/>
  </xdr:oneCellAnchor>
  <xdr:twoCellAnchor>
    <xdr:from>
      <xdr:col>0</xdr:col>
      <xdr:colOff>115981</xdr:colOff>
      <xdr:row>15</xdr:row>
      <xdr:rowOff>173131</xdr:rowOff>
    </xdr:from>
    <xdr:to>
      <xdr:col>8</xdr:col>
      <xdr:colOff>725714</xdr:colOff>
      <xdr:row>29</xdr:row>
      <xdr:rowOff>87312</xdr:rowOff>
    </xdr:to>
    <xdr:sp macro="" textlink="">
      <xdr:nvSpPr>
        <xdr:cNvPr id="3" name="Rectangle 11">
          <a:extLst>
            <a:ext uri="{FF2B5EF4-FFF2-40B4-BE49-F238E27FC236}">
              <a16:creationId xmlns:a16="http://schemas.microsoft.com/office/drawing/2014/main" id="{00000000-0008-0000-0000-000003000000}"/>
            </a:ext>
          </a:extLst>
        </xdr:cNvPr>
        <xdr:cNvSpPr>
          <a:spLocks noChangeArrowheads="1"/>
        </xdr:cNvSpPr>
      </xdr:nvSpPr>
      <xdr:spPr bwMode="auto">
        <a:xfrm>
          <a:off x="115981" y="3640231"/>
          <a:ext cx="6705733" cy="2581181"/>
        </a:xfrm>
        <a:prstGeom prst="rect">
          <a:avLst/>
        </a:prstGeom>
        <a:noFill/>
        <a:ln w="38100">
          <a:noFill/>
          <a:miter lim="800000"/>
          <a:headEnd/>
          <a:tailEnd/>
        </a:ln>
        <a:effectLst>
          <a:outerShdw dist="28398" dir="3806097" algn="ctr" rotWithShape="0">
            <a:srgbClr val="7F7F7F">
              <a:alpha val="50000"/>
            </a:srgbClr>
          </a:outerShdw>
        </a:effectLst>
      </xdr:spPr>
      <xdr:txBody>
        <a:bodyPr vertOverflow="clip" wrap="square" lIns="91440" tIns="45720" rIns="91440" bIns="45720" anchor="t" upright="1"/>
        <a:lstStyle/>
        <a:p>
          <a:pPr algn="ctr" rtl="0">
            <a:defRPr sz="1000"/>
          </a:pPr>
          <a:endParaRPr lang="en-US" sz="2400" b="0" i="0" u="none" strike="noStrike" baseline="0">
            <a:solidFill>
              <a:sysClr val="windowText" lastClr="000000"/>
            </a:solidFill>
            <a:latin typeface="Arial Narrow"/>
          </a:endParaRPr>
        </a:p>
        <a:p>
          <a:pPr algn="ctr" rtl="0">
            <a:defRPr sz="1000"/>
          </a:pPr>
          <a:endParaRPr lang="en-US" sz="2400" b="1" i="0" u="none" strike="noStrike" baseline="0">
            <a:solidFill>
              <a:sysClr val="windowText" lastClr="000000"/>
            </a:solidFill>
            <a:latin typeface="Arial Narrow"/>
          </a:endParaRPr>
        </a:p>
        <a:p>
          <a:pPr algn="ctr" rtl="0">
            <a:defRPr sz="1000"/>
          </a:pPr>
          <a:endParaRPr lang="en-US" sz="2400" b="1" i="0" u="none" strike="noStrike" baseline="0">
            <a:solidFill>
              <a:sysClr val="windowText" lastClr="000000"/>
            </a:solidFill>
            <a:latin typeface="Arial Narrow"/>
          </a:endParaRPr>
        </a:p>
        <a:p>
          <a:pPr algn="ctr" rtl="0">
            <a:defRPr sz="1000"/>
          </a:pPr>
          <a:r>
            <a:rPr lang="en-US" sz="2200" b="1" i="0" u="none" strike="noStrike" baseline="0">
              <a:solidFill>
                <a:sysClr val="windowText" lastClr="000000"/>
              </a:solidFill>
              <a:latin typeface="Arial Narrow"/>
            </a:rPr>
            <a:t>SEGUIMIENTO AL PLAN DE ACCIÓN INSTITUCIONAL 2018</a:t>
          </a:r>
        </a:p>
        <a:p>
          <a:pPr algn="ctr" rtl="0">
            <a:defRPr sz="1000"/>
          </a:pPr>
          <a:r>
            <a:rPr lang="en-US" sz="2100" b="1" i="0" u="none" strike="noStrike" baseline="0">
              <a:solidFill>
                <a:sysClr val="windowText" lastClr="000000"/>
              </a:solidFill>
              <a:effectLst/>
              <a:latin typeface="Arial Narrow"/>
              <a:ea typeface="+mn-ea"/>
              <a:cs typeface="+mn-cs"/>
            </a:rPr>
            <a:t>31 de diciembre de 2018</a:t>
          </a:r>
          <a:endParaRPr lang="en-US" sz="2100" b="0" i="0" u="none" strike="noStrike" baseline="0">
            <a:solidFill>
              <a:sysClr val="windowText" lastClr="000000"/>
            </a:solidFill>
            <a:latin typeface="Arial Narrow"/>
          </a:endParaRPr>
        </a:p>
      </xdr:txBody>
    </xdr:sp>
    <xdr:clientData/>
  </xdr:twoCellAnchor>
  <xdr:twoCellAnchor editAs="oneCell">
    <xdr:from>
      <xdr:col>0</xdr:col>
      <xdr:colOff>40822</xdr:colOff>
      <xdr:row>2</xdr:row>
      <xdr:rowOff>0</xdr:rowOff>
    </xdr:from>
    <xdr:to>
      <xdr:col>8</xdr:col>
      <xdr:colOff>734786</xdr:colOff>
      <xdr:row>14</xdr:row>
      <xdr:rowOff>84667</xdr:rowOff>
    </xdr:to>
    <xdr:pic>
      <xdr:nvPicPr>
        <xdr:cNvPr id="4" name="11 Imagen" descr="graficacion-01.png">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7831" r="17670" b="58277"/>
        <a:stretch/>
      </xdr:blipFill>
      <xdr:spPr>
        <a:xfrm>
          <a:off x="40822" y="638175"/>
          <a:ext cx="6789964" cy="2370667"/>
        </a:xfrm>
        <a:prstGeom prst="rect">
          <a:avLst/>
        </a:prstGeom>
      </xdr:spPr>
    </xdr:pic>
    <xdr:clientData/>
  </xdr:twoCellAnchor>
  <xdr:twoCellAnchor editAs="oneCell">
    <xdr:from>
      <xdr:col>0</xdr:col>
      <xdr:colOff>23811</xdr:colOff>
      <xdr:row>36</xdr:row>
      <xdr:rowOff>132670</xdr:rowOff>
    </xdr:from>
    <xdr:to>
      <xdr:col>8</xdr:col>
      <xdr:colOff>678656</xdr:colOff>
      <xdr:row>45</xdr:row>
      <xdr:rowOff>107270</xdr:rowOff>
    </xdr:to>
    <xdr:pic>
      <xdr:nvPicPr>
        <xdr:cNvPr id="5" name="12 Imagen" descr="graficacion-01.png">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4979" t="78611" r="24102"/>
        <a:stretch/>
      </xdr:blipFill>
      <xdr:spPr>
        <a:xfrm>
          <a:off x="23811" y="8312264"/>
          <a:ext cx="6750845" cy="18319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723900</xdr:colOff>
      <xdr:row>0</xdr:row>
      <xdr:rowOff>47933</xdr:rowOff>
    </xdr:from>
    <xdr:to>
      <xdr:col>1</xdr:col>
      <xdr:colOff>1804868</xdr:colOff>
      <xdr:row>2</xdr:row>
      <xdr:rowOff>109916</xdr:rowOff>
    </xdr:to>
    <xdr:pic>
      <xdr:nvPicPr>
        <xdr:cNvPr id="2" name="Imagen 1" descr="Departamento Administrativo de Ciencia, Tecnología e Innovación. COLCIENCIAS">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3900" y="47933"/>
          <a:ext cx="2778125" cy="6779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723900</xdr:colOff>
      <xdr:row>0</xdr:row>
      <xdr:rowOff>47933</xdr:rowOff>
    </xdr:from>
    <xdr:to>
      <xdr:col>1</xdr:col>
      <xdr:colOff>1804868</xdr:colOff>
      <xdr:row>2</xdr:row>
      <xdr:rowOff>109916</xdr:rowOff>
    </xdr:to>
    <xdr:pic>
      <xdr:nvPicPr>
        <xdr:cNvPr id="3" name="Imagen 2" descr="Departamento Administrativo de Ciencia, Tecnología e Innovación. COLCIENCIAS">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3900" y="47933"/>
          <a:ext cx="2778125" cy="6779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I46"/>
  <sheetViews>
    <sheetView showGridLines="0" zoomScale="80" zoomScaleNormal="80" workbookViewId="0">
      <selection activeCell="A37" sqref="A37"/>
    </sheetView>
  </sheetViews>
  <sheetFormatPr baseColWidth="10" defaultRowHeight="15" x14ac:dyDescent="0.25"/>
  <sheetData>
    <row r="1" spans="1:9" x14ac:dyDescent="0.25">
      <c r="A1" s="1"/>
      <c r="B1" s="2"/>
      <c r="C1" s="2"/>
      <c r="D1" s="2"/>
      <c r="E1" s="2"/>
      <c r="F1" s="2"/>
      <c r="G1" s="2"/>
      <c r="H1" s="2"/>
      <c r="I1" s="3"/>
    </row>
    <row r="2" spans="1:9" ht="35.25" customHeight="1" x14ac:dyDescent="0.25">
      <c r="A2" s="4"/>
      <c r="B2" s="5"/>
      <c r="C2" s="5"/>
      <c r="D2" s="5"/>
      <c r="E2" s="5"/>
      <c r="F2" s="5"/>
      <c r="G2" s="5"/>
      <c r="H2" s="5"/>
      <c r="I2" s="6"/>
    </row>
    <row r="3" spans="1:9" x14ac:dyDescent="0.25">
      <c r="A3" s="4"/>
      <c r="B3" s="5"/>
      <c r="C3" s="5"/>
      <c r="D3" s="5"/>
      <c r="E3" s="5"/>
      <c r="F3" s="5"/>
      <c r="G3" s="5"/>
      <c r="H3" s="5"/>
      <c r="I3" s="6"/>
    </row>
    <row r="4" spans="1:9" x14ac:dyDescent="0.25">
      <c r="A4" s="4"/>
      <c r="B4" s="5"/>
      <c r="C4" s="5"/>
      <c r="D4" s="5"/>
      <c r="E4" s="5"/>
      <c r="F4" s="5"/>
      <c r="G4" s="5"/>
      <c r="H4" s="5"/>
      <c r="I4" s="6"/>
    </row>
    <row r="5" spans="1:9" x14ac:dyDescent="0.25">
      <c r="A5" s="4"/>
      <c r="B5" s="5"/>
      <c r="C5" s="5"/>
      <c r="D5" s="5"/>
      <c r="E5" s="5"/>
      <c r="F5" s="5"/>
      <c r="G5" s="5"/>
      <c r="H5" s="5"/>
      <c r="I5" s="6"/>
    </row>
    <row r="6" spans="1:9" x14ac:dyDescent="0.25">
      <c r="A6" s="4"/>
      <c r="B6" s="5"/>
      <c r="C6" s="5"/>
      <c r="D6" s="5"/>
      <c r="E6" s="5"/>
      <c r="F6" s="5"/>
      <c r="G6" s="5"/>
      <c r="H6" s="5"/>
      <c r="I6" s="6"/>
    </row>
    <row r="7" spans="1:9" x14ac:dyDescent="0.25">
      <c r="A7" s="4"/>
      <c r="B7" s="5"/>
      <c r="C7" s="5"/>
      <c r="D7" s="5"/>
      <c r="E7" s="5"/>
      <c r="F7" s="5"/>
      <c r="G7" s="5"/>
      <c r="H7" s="5"/>
      <c r="I7" s="6"/>
    </row>
    <row r="8" spans="1:9" x14ac:dyDescent="0.25">
      <c r="A8" s="4"/>
      <c r="B8" s="5"/>
      <c r="C8" s="5"/>
      <c r="D8" s="5"/>
      <c r="E8" s="5"/>
      <c r="F8" s="5"/>
      <c r="G8" s="5"/>
      <c r="H8" s="5"/>
      <c r="I8" s="6"/>
    </row>
    <row r="9" spans="1:9" x14ac:dyDescent="0.25">
      <c r="A9" s="4"/>
      <c r="B9" s="5"/>
      <c r="C9" s="5"/>
      <c r="D9" s="5"/>
      <c r="E9" s="5"/>
      <c r="F9" s="5"/>
      <c r="G9" s="5"/>
      <c r="H9" s="5"/>
      <c r="I9" s="6"/>
    </row>
    <row r="10" spans="1:9" x14ac:dyDescent="0.25">
      <c r="A10" s="4"/>
      <c r="B10" s="5"/>
      <c r="C10" s="5"/>
      <c r="D10" s="5"/>
      <c r="E10" s="5"/>
      <c r="F10" s="5"/>
      <c r="G10" s="5"/>
      <c r="H10" s="5"/>
      <c r="I10" s="6"/>
    </row>
    <row r="11" spans="1:9" x14ac:dyDescent="0.25">
      <c r="A11" s="4"/>
      <c r="B11" s="5"/>
      <c r="C11" s="5"/>
      <c r="D11" s="5"/>
      <c r="E11" s="5"/>
      <c r="F11" s="5"/>
      <c r="G11" s="5"/>
      <c r="H11" s="5"/>
      <c r="I11" s="6"/>
    </row>
    <row r="12" spans="1:9" x14ac:dyDescent="0.25">
      <c r="A12" s="4"/>
      <c r="B12" s="5"/>
      <c r="C12" s="5"/>
      <c r="D12" s="5"/>
      <c r="E12" s="5"/>
      <c r="F12" s="5"/>
      <c r="G12" s="5"/>
      <c r="H12" s="5"/>
      <c r="I12" s="6"/>
    </row>
    <row r="13" spans="1:9" x14ac:dyDescent="0.25">
      <c r="A13" s="4"/>
      <c r="B13" s="5"/>
      <c r="C13" s="5"/>
      <c r="D13" s="5"/>
      <c r="E13" s="5"/>
      <c r="F13" s="5"/>
      <c r="G13" s="5"/>
      <c r="H13" s="5"/>
      <c r="I13" s="6"/>
    </row>
    <row r="14" spans="1:9" x14ac:dyDescent="0.25">
      <c r="A14" s="4"/>
      <c r="B14" s="5"/>
      <c r="C14" s="5"/>
      <c r="D14" s="5"/>
      <c r="E14" s="5"/>
      <c r="F14" s="5"/>
      <c r="G14" s="5"/>
      <c r="H14" s="5"/>
      <c r="I14" s="6"/>
    </row>
    <row r="15" spans="1:9" ht="42.75" customHeight="1" x14ac:dyDescent="0.25">
      <c r="A15" s="4"/>
      <c r="B15" s="5"/>
      <c r="C15" s="5"/>
      <c r="D15" s="5"/>
      <c r="E15" s="5"/>
      <c r="F15" s="5"/>
      <c r="G15" s="5"/>
      <c r="H15" s="5"/>
      <c r="I15" s="6"/>
    </row>
    <row r="16" spans="1:9" x14ac:dyDescent="0.25">
      <c r="A16" s="4"/>
      <c r="B16" s="5"/>
      <c r="C16" s="5"/>
      <c r="D16" s="5"/>
      <c r="E16" s="5"/>
      <c r="F16" s="5"/>
      <c r="G16" s="5"/>
      <c r="H16" s="5"/>
      <c r="I16" s="6"/>
    </row>
    <row r="17" spans="1:9" x14ac:dyDescent="0.25">
      <c r="A17" s="4"/>
      <c r="B17" s="5"/>
      <c r="C17" s="5"/>
      <c r="D17" s="5"/>
      <c r="E17" s="5"/>
      <c r="F17" s="5"/>
      <c r="G17" s="5"/>
      <c r="H17" s="5"/>
      <c r="I17" s="6"/>
    </row>
    <row r="18" spans="1:9" x14ac:dyDescent="0.25">
      <c r="A18" s="4"/>
      <c r="B18" s="5"/>
      <c r="C18" s="5"/>
      <c r="D18" s="5"/>
      <c r="E18" s="5"/>
      <c r="F18" s="5"/>
      <c r="G18" s="5"/>
      <c r="H18" s="5"/>
      <c r="I18" s="6"/>
    </row>
    <row r="19" spans="1:9" x14ac:dyDescent="0.25">
      <c r="A19" s="4"/>
      <c r="B19" s="5"/>
      <c r="C19" s="5"/>
      <c r="D19" s="5"/>
      <c r="E19" s="5"/>
      <c r="F19" s="5"/>
      <c r="G19" s="5"/>
      <c r="H19" s="5"/>
      <c r="I19" s="6"/>
    </row>
    <row r="20" spans="1:9" x14ac:dyDescent="0.25">
      <c r="A20" s="4"/>
      <c r="B20" s="5"/>
      <c r="C20" s="5"/>
      <c r="D20" s="5"/>
      <c r="E20" s="5"/>
      <c r="F20" s="5"/>
      <c r="G20" s="5"/>
      <c r="H20" s="5"/>
      <c r="I20" s="6"/>
    </row>
    <row r="21" spans="1:9" x14ac:dyDescent="0.25">
      <c r="A21" s="4"/>
      <c r="B21" s="5"/>
      <c r="C21" s="5"/>
      <c r="D21" s="5"/>
      <c r="E21" s="5"/>
      <c r="F21" s="5"/>
      <c r="G21" s="5"/>
      <c r="H21" s="5"/>
      <c r="I21" s="6"/>
    </row>
    <row r="22" spans="1:9" x14ac:dyDescent="0.25">
      <c r="A22" s="4"/>
      <c r="B22" s="5"/>
      <c r="C22" s="5"/>
      <c r="D22" s="5"/>
      <c r="E22" s="5"/>
      <c r="F22" s="5"/>
      <c r="G22" s="5"/>
      <c r="H22" s="5"/>
      <c r="I22" s="6"/>
    </row>
    <row r="23" spans="1:9" x14ac:dyDescent="0.25">
      <c r="A23" s="4"/>
      <c r="B23" s="5"/>
      <c r="C23" s="5"/>
      <c r="D23" s="5"/>
      <c r="E23" s="5"/>
      <c r="F23" s="5"/>
      <c r="G23" s="5"/>
      <c r="H23" s="5"/>
      <c r="I23" s="6"/>
    </row>
    <row r="24" spans="1:9" x14ac:dyDescent="0.25">
      <c r="A24" s="4"/>
      <c r="B24" s="5"/>
      <c r="C24" s="5"/>
      <c r="D24" s="5"/>
      <c r="E24" s="5"/>
      <c r="F24" s="5"/>
      <c r="G24" s="5"/>
      <c r="H24" s="5"/>
      <c r="I24" s="6"/>
    </row>
    <row r="25" spans="1:9" x14ac:dyDescent="0.25">
      <c r="A25" s="4"/>
      <c r="B25" s="5"/>
      <c r="C25" s="5"/>
      <c r="D25" s="5"/>
      <c r="E25" s="5"/>
      <c r="F25" s="5"/>
      <c r="G25" s="5"/>
      <c r="H25" s="5"/>
      <c r="I25" s="6"/>
    </row>
    <row r="26" spans="1:9" x14ac:dyDescent="0.25">
      <c r="A26" s="4"/>
      <c r="B26" s="5"/>
      <c r="C26" s="5"/>
      <c r="D26" s="5"/>
      <c r="E26" s="5"/>
      <c r="F26" s="5"/>
      <c r="G26" s="5"/>
      <c r="H26" s="5"/>
      <c r="I26" s="6"/>
    </row>
    <row r="27" spans="1:9" x14ac:dyDescent="0.25">
      <c r="A27" s="4"/>
      <c r="B27" s="5"/>
      <c r="C27" s="5"/>
      <c r="D27" s="5"/>
      <c r="E27" s="5"/>
      <c r="F27" s="5"/>
      <c r="G27" s="5"/>
      <c r="H27" s="5"/>
      <c r="I27" s="6"/>
    </row>
    <row r="28" spans="1:9" x14ac:dyDescent="0.25">
      <c r="A28" s="4"/>
      <c r="B28" s="5"/>
      <c r="C28" s="5"/>
      <c r="D28" s="5"/>
      <c r="E28" s="5"/>
      <c r="F28" s="5"/>
      <c r="G28" s="5"/>
      <c r="H28" s="5"/>
      <c r="I28" s="6"/>
    </row>
    <row r="29" spans="1:9" x14ac:dyDescent="0.25">
      <c r="A29" s="4"/>
      <c r="B29" s="5"/>
      <c r="C29" s="5"/>
      <c r="D29" s="5"/>
      <c r="E29" s="5"/>
      <c r="F29" s="5"/>
      <c r="G29" s="5"/>
      <c r="H29" s="5"/>
      <c r="I29" s="6"/>
    </row>
    <row r="30" spans="1:9" ht="42" customHeight="1" x14ac:dyDescent="0.25"/>
    <row r="31" spans="1:9" x14ac:dyDescent="0.25">
      <c r="A31" s="4"/>
      <c r="B31" s="5"/>
      <c r="C31" s="5"/>
      <c r="D31" s="5"/>
      <c r="E31" s="5"/>
      <c r="F31" s="5"/>
      <c r="G31" s="5"/>
      <c r="H31" s="5"/>
      <c r="I31" s="6"/>
    </row>
    <row r="32" spans="1:9" ht="20.25" customHeight="1" x14ac:dyDescent="0.25">
      <c r="A32" s="4"/>
      <c r="B32" s="5"/>
      <c r="C32" s="5"/>
      <c r="D32" s="5"/>
      <c r="E32" s="5"/>
      <c r="F32" s="5"/>
      <c r="G32" s="5"/>
      <c r="H32" s="5"/>
      <c r="I32" s="6"/>
    </row>
    <row r="33" spans="1:9" ht="20.25" customHeight="1" x14ac:dyDescent="0.25">
      <c r="A33" s="4"/>
      <c r="B33" s="5"/>
      <c r="C33" s="5"/>
      <c r="D33" s="5"/>
      <c r="E33" s="5"/>
      <c r="F33" s="5"/>
      <c r="G33" s="5"/>
      <c r="H33" s="5"/>
      <c r="I33" s="6"/>
    </row>
    <row r="34" spans="1:9" ht="20.25" customHeight="1" x14ac:dyDescent="0.25">
      <c r="A34" s="4"/>
      <c r="B34" s="5"/>
      <c r="C34" s="5"/>
      <c r="D34" s="5"/>
      <c r="E34" s="5"/>
      <c r="F34" s="5"/>
      <c r="G34" s="5"/>
      <c r="H34" s="5"/>
      <c r="I34" s="6"/>
    </row>
    <row r="35" spans="1:9" ht="10.5" customHeight="1" x14ac:dyDescent="0.25">
      <c r="A35" s="4"/>
      <c r="B35" s="5"/>
      <c r="C35" s="5"/>
      <c r="D35" s="5"/>
      <c r="E35" s="5"/>
      <c r="F35" s="5"/>
      <c r="G35" s="5"/>
      <c r="H35" s="5"/>
      <c r="I35" s="6"/>
    </row>
    <row r="36" spans="1:9" ht="34.5" customHeight="1" x14ac:dyDescent="0.3">
      <c r="A36" s="53" t="s">
        <v>170</v>
      </c>
      <c r="B36" s="54"/>
      <c r="C36" s="54"/>
      <c r="D36" s="54"/>
      <c r="E36" s="54"/>
      <c r="F36" s="54"/>
      <c r="G36" s="54"/>
      <c r="H36" s="54"/>
      <c r="I36" s="55"/>
    </row>
    <row r="37" spans="1:9" ht="20.25" customHeight="1" x14ac:dyDescent="0.25">
      <c r="A37" s="4"/>
      <c r="B37" s="5"/>
      <c r="C37" s="5"/>
      <c r="D37" s="5"/>
      <c r="E37" s="5"/>
      <c r="F37" s="5"/>
      <c r="G37" s="5"/>
      <c r="H37" s="5"/>
      <c r="I37" s="6"/>
    </row>
    <row r="38" spans="1:9" ht="20.25" customHeight="1" x14ac:dyDescent="0.25">
      <c r="A38" s="4"/>
      <c r="B38" s="5"/>
      <c r="C38" s="5"/>
      <c r="D38" s="5"/>
      <c r="E38" s="5"/>
      <c r="F38" s="5"/>
      <c r="G38" s="5"/>
      <c r="H38" s="5"/>
      <c r="I38" s="6"/>
    </row>
    <row r="39" spans="1:9" x14ac:dyDescent="0.25">
      <c r="A39" s="4"/>
      <c r="B39" s="5"/>
      <c r="C39" s="5"/>
      <c r="D39" s="5"/>
      <c r="E39" s="5"/>
      <c r="F39" s="5"/>
      <c r="G39" s="5"/>
      <c r="H39" s="5"/>
      <c r="I39" s="6"/>
    </row>
    <row r="40" spans="1:9" x14ac:dyDescent="0.25">
      <c r="A40" s="4"/>
      <c r="B40" s="5"/>
      <c r="C40" s="5"/>
      <c r="D40" s="5"/>
      <c r="E40" s="5"/>
      <c r="F40" s="5"/>
      <c r="G40" s="5"/>
      <c r="H40" s="5"/>
      <c r="I40" s="6"/>
    </row>
    <row r="41" spans="1:9" x14ac:dyDescent="0.25">
      <c r="A41" s="4"/>
      <c r="B41" s="5"/>
      <c r="C41" s="5"/>
      <c r="D41" s="5"/>
      <c r="E41" s="5"/>
      <c r="F41" s="5"/>
      <c r="G41" s="5"/>
      <c r="H41" s="5"/>
      <c r="I41" s="6"/>
    </row>
    <row r="42" spans="1:9" x14ac:dyDescent="0.25">
      <c r="A42" s="4"/>
      <c r="B42" s="5"/>
      <c r="C42" s="5"/>
      <c r="D42" s="5"/>
      <c r="E42" s="5"/>
      <c r="F42" s="5"/>
      <c r="G42" s="5"/>
      <c r="H42" s="5"/>
      <c r="I42" s="6"/>
    </row>
    <row r="43" spans="1:9" x14ac:dyDescent="0.25">
      <c r="A43" s="4"/>
      <c r="B43" s="5"/>
      <c r="C43" s="5"/>
      <c r="D43" s="5"/>
      <c r="E43" s="5"/>
      <c r="F43" s="5"/>
      <c r="G43" s="5"/>
      <c r="H43" s="5"/>
      <c r="I43" s="6"/>
    </row>
    <row r="44" spans="1:9" x14ac:dyDescent="0.25">
      <c r="A44" s="4"/>
      <c r="B44" s="5"/>
      <c r="C44" s="5"/>
      <c r="D44" s="5"/>
      <c r="E44" s="5"/>
      <c r="F44" s="5"/>
      <c r="G44" s="5"/>
      <c r="H44" s="5"/>
      <c r="I44" s="6"/>
    </row>
    <row r="45" spans="1:9" x14ac:dyDescent="0.25">
      <c r="A45" s="4"/>
      <c r="B45" s="5"/>
      <c r="C45" s="5"/>
      <c r="D45" s="5"/>
      <c r="E45" s="5"/>
      <c r="F45" s="5"/>
      <c r="G45" s="5"/>
      <c r="H45" s="5"/>
      <c r="I45" s="6"/>
    </row>
    <row r="46" spans="1:9" ht="15.75" thickBot="1" x14ac:dyDescent="0.3">
      <c r="A46" s="7"/>
      <c r="B46" s="8"/>
      <c r="C46" s="8"/>
      <c r="D46" s="8"/>
      <c r="E46" s="8"/>
      <c r="F46" s="8"/>
      <c r="G46" s="8"/>
      <c r="H46" s="8"/>
      <c r="I46" s="9"/>
    </row>
  </sheetData>
  <mergeCells count="1">
    <mergeCell ref="A36:I36"/>
  </mergeCells>
  <printOptions horizontalCentered="1" verticalCentered="1"/>
  <pageMargins left="0.70866141732283472" right="0.70866141732283472" top="0.74803149606299213" bottom="0.74803149606299213" header="0.31496062992125984" footer="0.31496062992125984"/>
  <pageSetup scale="8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CI77"/>
  <sheetViews>
    <sheetView showGridLines="0" tabSelected="1" view="pageBreakPreview" zoomScale="73" zoomScaleNormal="47" zoomScaleSheetLayoutView="73" workbookViewId="0">
      <pane ySplit="10" topLeftCell="A70" activePane="bottomLeft" state="frozen"/>
      <selection activeCell="B1" sqref="B1"/>
      <selection pane="bottomLeft" activeCell="H71" sqref="H71"/>
    </sheetView>
  </sheetViews>
  <sheetFormatPr baseColWidth="10" defaultColWidth="11.5703125" defaultRowHeight="17.25" x14ac:dyDescent="0.3"/>
  <cols>
    <col min="1" max="1" width="23.5703125" style="11" customWidth="1"/>
    <col min="2" max="2" width="30" style="22" customWidth="1"/>
    <col min="3" max="3" width="21.85546875" style="22" customWidth="1"/>
    <col min="4" max="4" width="28.85546875" style="30" customWidth="1"/>
    <col min="5" max="6" width="15.140625" style="22" customWidth="1"/>
    <col min="7" max="7" width="16.28515625" style="22" customWidth="1"/>
    <col min="8" max="8" width="19.5703125" style="22" customWidth="1"/>
    <col min="9" max="9" width="13" style="22" customWidth="1"/>
    <col min="10" max="10" width="12.7109375" style="22" customWidth="1"/>
    <col min="11" max="11" width="12.5703125" style="22" customWidth="1"/>
    <col min="12" max="12" width="15.42578125" style="22" customWidth="1"/>
    <col min="13" max="13" width="21.140625" style="22" customWidth="1"/>
    <col min="14" max="14" width="25.140625" style="22" customWidth="1"/>
    <col min="15" max="15" width="158.7109375" style="11" customWidth="1"/>
    <col min="16" max="16" width="57.42578125" style="11" customWidth="1"/>
    <col min="17" max="17" width="46" style="11" customWidth="1"/>
    <col min="18" max="18" width="11.5703125" style="11"/>
    <col min="19" max="19" width="13.140625" style="11" bestFit="1" customWidth="1"/>
    <col min="20" max="16384" width="11.5703125" style="11"/>
  </cols>
  <sheetData>
    <row r="1" spans="1:23" ht="24" customHeight="1" x14ac:dyDescent="0.3">
      <c r="A1" s="74"/>
      <c r="B1" s="75"/>
      <c r="C1" s="60" t="s">
        <v>112</v>
      </c>
      <c r="D1" s="61"/>
      <c r="E1" s="61"/>
      <c r="F1" s="61"/>
      <c r="G1" s="61"/>
      <c r="H1" s="61"/>
      <c r="I1" s="61"/>
      <c r="J1" s="61"/>
      <c r="K1" s="61"/>
      <c r="L1" s="61"/>
      <c r="M1" s="61"/>
      <c r="N1" s="62"/>
      <c r="O1" s="10" t="s">
        <v>26</v>
      </c>
    </row>
    <row r="2" spans="1:23" s="12" customFormat="1" ht="24.75" customHeight="1" x14ac:dyDescent="0.3">
      <c r="A2" s="76"/>
      <c r="B2" s="77"/>
      <c r="C2" s="63"/>
      <c r="D2" s="64"/>
      <c r="E2" s="64"/>
      <c r="F2" s="64"/>
      <c r="G2" s="64"/>
      <c r="H2" s="64"/>
      <c r="I2" s="64"/>
      <c r="J2" s="64"/>
      <c r="K2" s="64"/>
      <c r="L2" s="64"/>
      <c r="M2" s="64"/>
      <c r="N2" s="65"/>
      <c r="O2" s="10" t="s">
        <v>40</v>
      </c>
    </row>
    <row r="3" spans="1:23" s="12" customFormat="1" ht="22.5" customHeight="1" x14ac:dyDescent="0.3">
      <c r="A3" s="78"/>
      <c r="B3" s="79"/>
      <c r="C3" s="66"/>
      <c r="D3" s="67"/>
      <c r="E3" s="67"/>
      <c r="F3" s="67"/>
      <c r="G3" s="67"/>
      <c r="H3" s="67"/>
      <c r="I3" s="67"/>
      <c r="J3" s="67"/>
      <c r="K3" s="67"/>
      <c r="L3" s="67"/>
      <c r="M3" s="67"/>
      <c r="N3" s="68"/>
      <c r="O3" s="13" t="s">
        <v>39</v>
      </c>
    </row>
    <row r="4" spans="1:23" s="12" customFormat="1" ht="15.75" customHeight="1" x14ac:dyDescent="0.3">
      <c r="B4" s="88"/>
      <c r="C4" s="88"/>
      <c r="D4" s="88"/>
      <c r="E4" s="88"/>
      <c r="F4" s="88"/>
      <c r="G4" s="88"/>
      <c r="H4" s="88"/>
      <c r="I4" s="88"/>
      <c r="J4" s="88"/>
      <c r="K4" s="88"/>
      <c r="L4" s="88"/>
      <c r="M4" s="88"/>
      <c r="N4" s="88"/>
      <c r="O4" s="88"/>
    </row>
    <row r="5" spans="1:23" s="12" customFormat="1" ht="29.45" customHeight="1" x14ac:dyDescent="0.3">
      <c r="A5" s="89" t="s">
        <v>113</v>
      </c>
      <c r="B5" s="89"/>
      <c r="C5" s="89"/>
      <c r="D5" s="89"/>
      <c r="E5" s="89"/>
      <c r="F5" s="89"/>
      <c r="G5" s="89"/>
      <c r="H5" s="89"/>
      <c r="I5" s="89"/>
      <c r="J5" s="89"/>
      <c r="K5" s="89"/>
      <c r="L5" s="89"/>
      <c r="M5" s="89"/>
      <c r="N5" s="89"/>
      <c r="O5" s="89"/>
    </row>
    <row r="6" spans="1:23" s="12" customFormat="1" ht="29.45" customHeight="1" x14ac:dyDescent="0.3">
      <c r="B6" s="20"/>
      <c r="C6" s="20"/>
      <c r="D6" s="19"/>
      <c r="E6" s="19"/>
      <c r="F6" s="19"/>
      <c r="G6" s="19"/>
      <c r="H6" s="19"/>
      <c r="I6" s="19"/>
      <c r="J6" s="19"/>
      <c r="K6" s="19"/>
      <c r="L6" s="19"/>
      <c r="M6" s="20"/>
      <c r="N6" s="20"/>
      <c r="O6" s="14"/>
    </row>
    <row r="7" spans="1:23" s="12" customFormat="1" ht="28.5" customHeight="1" x14ac:dyDescent="0.3">
      <c r="A7" s="82" t="s">
        <v>131</v>
      </c>
      <c r="B7" s="82"/>
      <c r="C7" s="82"/>
      <c r="D7" s="82"/>
      <c r="E7" s="82"/>
      <c r="F7" s="82"/>
      <c r="G7" s="82"/>
      <c r="H7" s="82"/>
      <c r="I7" s="82"/>
      <c r="J7" s="82"/>
      <c r="K7" s="82"/>
      <c r="L7" s="82"/>
      <c r="M7" s="82"/>
      <c r="N7" s="82"/>
      <c r="O7" s="82"/>
      <c r="P7" s="36"/>
      <c r="Q7" s="36"/>
      <c r="R7" s="36"/>
      <c r="S7" s="36"/>
      <c r="T7" s="36"/>
      <c r="U7" s="36"/>
      <c r="V7" s="36"/>
      <c r="W7" s="36"/>
    </row>
    <row r="8" spans="1:23" s="12" customFormat="1" ht="25.5" x14ac:dyDescent="0.3">
      <c r="A8" s="18"/>
      <c r="B8" s="21"/>
      <c r="C8" s="21"/>
      <c r="D8" s="21"/>
      <c r="E8" s="20"/>
      <c r="F8" s="20"/>
      <c r="G8" s="20"/>
      <c r="H8" s="20"/>
      <c r="I8" s="20"/>
      <c r="J8" s="20"/>
      <c r="K8" s="20"/>
      <c r="L8" s="20"/>
      <c r="M8" s="21"/>
      <c r="N8" s="21"/>
      <c r="O8" s="18"/>
      <c r="P8" s="18"/>
      <c r="Q8" s="18"/>
      <c r="R8" s="18"/>
      <c r="S8" s="18"/>
      <c r="T8" s="18"/>
      <c r="U8" s="18"/>
      <c r="V8" s="18"/>
      <c r="W8" s="18"/>
    </row>
    <row r="9" spans="1:23" s="15" customFormat="1" ht="28.5" customHeight="1" x14ac:dyDescent="0.3">
      <c r="A9" s="80" t="s">
        <v>0</v>
      </c>
      <c r="B9" s="80" t="s">
        <v>1</v>
      </c>
      <c r="C9" s="80" t="s">
        <v>2</v>
      </c>
      <c r="D9" s="80" t="s">
        <v>27</v>
      </c>
      <c r="E9" s="90" t="s">
        <v>28</v>
      </c>
      <c r="F9" s="90"/>
      <c r="G9" s="90"/>
      <c r="H9" s="90"/>
      <c r="I9" s="90"/>
      <c r="J9" s="90"/>
      <c r="K9" s="90"/>
      <c r="L9" s="90"/>
      <c r="M9" s="69" t="s">
        <v>10</v>
      </c>
      <c r="N9" s="69" t="s">
        <v>114</v>
      </c>
      <c r="O9" s="58" t="s">
        <v>132</v>
      </c>
    </row>
    <row r="10" spans="1:23" ht="36.75" customHeight="1" x14ac:dyDescent="0.3">
      <c r="A10" s="81"/>
      <c r="B10" s="81"/>
      <c r="C10" s="81"/>
      <c r="D10" s="81"/>
      <c r="E10" s="33" t="s">
        <v>29</v>
      </c>
      <c r="F10" s="32" t="s">
        <v>30</v>
      </c>
      <c r="G10" s="33" t="s">
        <v>31</v>
      </c>
      <c r="H10" s="32" t="s">
        <v>32</v>
      </c>
      <c r="I10" s="33" t="s">
        <v>33</v>
      </c>
      <c r="J10" s="32" t="s">
        <v>34</v>
      </c>
      <c r="K10" s="33" t="s">
        <v>35</v>
      </c>
      <c r="L10" s="32" t="s">
        <v>36</v>
      </c>
      <c r="M10" s="70"/>
      <c r="N10" s="70"/>
      <c r="O10" s="59"/>
    </row>
    <row r="11" spans="1:23" s="28" customFormat="1" ht="294" customHeight="1" x14ac:dyDescent="0.25">
      <c r="A11" s="56" t="s">
        <v>3</v>
      </c>
      <c r="B11" s="51" t="s">
        <v>4</v>
      </c>
      <c r="C11" s="51" t="s">
        <v>5</v>
      </c>
      <c r="D11" s="51" t="s">
        <v>167</v>
      </c>
      <c r="E11" s="51" t="s">
        <v>45</v>
      </c>
      <c r="F11" s="51" t="s">
        <v>45</v>
      </c>
      <c r="G11" s="51">
        <v>1000</v>
      </c>
      <c r="H11" s="51">
        <v>1365</v>
      </c>
      <c r="I11" s="51">
        <v>1020</v>
      </c>
      <c r="J11" s="51">
        <f>+H11+20</f>
        <v>1385</v>
      </c>
      <c r="K11" s="51">
        <v>1667</v>
      </c>
      <c r="L11" s="51">
        <f>+J11+119+96+64+39+27+13</f>
        <v>1743</v>
      </c>
      <c r="M11" s="51">
        <f>+L11</f>
        <v>1743</v>
      </c>
      <c r="N11" s="38">
        <f>IF(M11/K11&gt;100%,100%,M11/K11)</f>
        <v>1</v>
      </c>
      <c r="O11" s="50" t="s">
        <v>148</v>
      </c>
    </row>
    <row r="12" spans="1:23" s="28" customFormat="1" ht="156" customHeight="1" x14ac:dyDescent="0.25">
      <c r="A12" s="56"/>
      <c r="B12" s="51" t="s">
        <v>25</v>
      </c>
      <c r="C12" s="51" t="s">
        <v>5</v>
      </c>
      <c r="D12" s="51" t="s">
        <v>43</v>
      </c>
      <c r="E12" s="51" t="s">
        <v>45</v>
      </c>
      <c r="F12" s="51" t="s">
        <v>45</v>
      </c>
      <c r="G12" s="51" t="s">
        <v>45</v>
      </c>
      <c r="H12" s="51" t="s">
        <v>45</v>
      </c>
      <c r="I12" s="51" t="s">
        <v>45</v>
      </c>
      <c r="J12" s="51" t="s">
        <v>45</v>
      </c>
      <c r="K12" s="51">
        <v>200</v>
      </c>
      <c r="L12" s="51">
        <v>179</v>
      </c>
      <c r="M12" s="51">
        <f t="shared" ref="M12:M16" si="0">+L12</f>
        <v>179</v>
      </c>
      <c r="N12" s="38">
        <f>IF(M12/K12&gt;100%,100%,M12/K12)</f>
        <v>0.89500000000000002</v>
      </c>
      <c r="O12" s="50" t="s">
        <v>149</v>
      </c>
    </row>
    <row r="13" spans="1:23" s="28" customFormat="1" ht="216" customHeight="1" x14ac:dyDescent="0.25">
      <c r="A13" s="56"/>
      <c r="B13" s="51" t="s">
        <v>6</v>
      </c>
      <c r="C13" s="51" t="s">
        <v>5</v>
      </c>
      <c r="D13" s="51" t="s">
        <v>44</v>
      </c>
      <c r="E13" s="51" t="s">
        <v>45</v>
      </c>
      <c r="F13" s="39" t="s">
        <v>45</v>
      </c>
      <c r="G13" s="39">
        <v>0.25</v>
      </c>
      <c r="H13" s="39">
        <v>0.28000000000000003</v>
      </c>
      <c r="I13" s="39">
        <v>0.25</v>
      </c>
      <c r="J13" s="52">
        <v>0.28000000000000003</v>
      </c>
      <c r="K13" s="52">
        <v>0.25</v>
      </c>
      <c r="L13" s="42">
        <v>0.64629999999999999</v>
      </c>
      <c r="M13" s="42">
        <f t="shared" si="0"/>
        <v>0.64629999999999999</v>
      </c>
      <c r="N13" s="38">
        <f>IF(M13/K13&gt;100%,100%,M13/K13)</f>
        <v>1</v>
      </c>
      <c r="O13" s="49" t="s">
        <v>150</v>
      </c>
    </row>
    <row r="14" spans="1:23" s="28" customFormat="1" ht="323.25" customHeight="1" x14ac:dyDescent="0.25">
      <c r="A14" s="56"/>
      <c r="B14" s="56" t="s">
        <v>7</v>
      </c>
      <c r="C14" s="56" t="s">
        <v>5</v>
      </c>
      <c r="D14" s="51" t="s">
        <v>117</v>
      </c>
      <c r="E14" s="35">
        <v>2780</v>
      </c>
      <c r="F14" s="35">
        <v>1959</v>
      </c>
      <c r="G14" s="35">
        <v>4400</v>
      </c>
      <c r="H14" s="35">
        <v>4716</v>
      </c>
      <c r="I14" s="35">
        <v>7700</v>
      </c>
      <c r="J14" s="35">
        <v>7755</v>
      </c>
      <c r="K14" s="35">
        <v>13400</v>
      </c>
      <c r="L14" s="35">
        <v>13848</v>
      </c>
      <c r="M14" s="35">
        <f t="shared" si="0"/>
        <v>13848</v>
      </c>
      <c r="N14" s="38">
        <f>IF(M14/K14&gt;100%,100%,M14/K14)</f>
        <v>1</v>
      </c>
      <c r="O14" s="71" t="s">
        <v>169</v>
      </c>
    </row>
    <row r="15" spans="1:23" s="28" customFormat="1" ht="187.5" customHeight="1" x14ac:dyDescent="0.25">
      <c r="A15" s="56"/>
      <c r="B15" s="56"/>
      <c r="C15" s="56"/>
      <c r="D15" s="51" t="s">
        <v>118</v>
      </c>
      <c r="E15" s="51" t="s">
        <v>45</v>
      </c>
      <c r="F15" s="51" t="s">
        <v>45</v>
      </c>
      <c r="G15" s="51" t="s">
        <v>45</v>
      </c>
      <c r="H15" s="51" t="s">
        <v>45</v>
      </c>
      <c r="I15" s="51">
        <v>1</v>
      </c>
      <c r="J15" s="51">
        <v>0</v>
      </c>
      <c r="K15" s="51">
        <v>1</v>
      </c>
      <c r="L15" s="51">
        <v>1</v>
      </c>
      <c r="M15" s="35">
        <f t="shared" si="0"/>
        <v>1</v>
      </c>
      <c r="N15" s="38">
        <f>IF(M15/K15&gt;100%,100%,M15/K15)</f>
        <v>1</v>
      </c>
      <c r="O15" s="71"/>
    </row>
    <row r="16" spans="1:23" s="28" customFormat="1" ht="409.5" customHeight="1" x14ac:dyDescent="0.25">
      <c r="A16" s="56"/>
      <c r="B16" s="56" t="s">
        <v>11</v>
      </c>
      <c r="C16" s="56" t="s">
        <v>5</v>
      </c>
      <c r="D16" s="56" t="s">
        <v>168</v>
      </c>
      <c r="E16" s="56" t="s">
        <v>45</v>
      </c>
      <c r="F16" s="56" t="s">
        <v>45</v>
      </c>
      <c r="G16" s="56" t="s">
        <v>45</v>
      </c>
      <c r="H16" s="56">
        <v>39</v>
      </c>
      <c r="I16" s="56">
        <v>147</v>
      </c>
      <c r="J16" s="56">
        <f>H16+18+21+51+10+2+1</f>
        <v>142</v>
      </c>
      <c r="K16" s="56">
        <v>287</v>
      </c>
      <c r="L16" s="56">
        <f>+J16+5+8+12+107+2+5+99+8</f>
        <v>388</v>
      </c>
      <c r="M16" s="56">
        <f t="shared" si="0"/>
        <v>388</v>
      </c>
      <c r="N16" s="57">
        <f>IF(M14/J14&gt;100%,100%,M14/J14)</f>
        <v>1</v>
      </c>
      <c r="O16" s="72" t="s">
        <v>155</v>
      </c>
    </row>
    <row r="17" spans="1:19" s="28" customFormat="1" ht="409.5" customHeight="1" x14ac:dyDescent="0.25">
      <c r="A17" s="51"/>
      <c r="B17" s="56"/>
      <c r="C17" s="56"/>
      <c r="D17" s="56"/>
      <c r="E17" s="56"/>
      <c r="F17" s="56"/>
      <c r="G17" s="56"/>
      <c r="H17" s="56"/>
      <c r="I17" s="56"/>
      <c r="J17" s="56"/>
      <c r="K17" s="56"/>
      <c r="L17" s="56"/>
      <c r="M17" s="56"/>
      <c r="N17" s="56"/>
      <c r="O17" s="73"/>
    </row>
    <row r="18" spans="1:19" s="28" customFormat="1" ht="375" customHeight="1" x14ac:dyDescent="0.25">
      <c r="A18" s="56" t="s">
        <v>12</v>
      </c>
      <c r="B18" s="51" t="s">
        <v>13</v>
      </c>
      <c r="C18" s="51" t="s">
        <v>16</v>
      </c>
      <c r="D18" s="51" t="s">
        <v>119</v>
      </c>
      <c r="E18" s="51" t="s">
        <v>45</v>
      </c>
      <c r="F18" s="51" t="s">
        <v>45</v>
      </c>
      <c r="G18" s="51" t="s">
        <v>45</v>
      </c>
      <c r="H18" s="51" t="s">
        <v>45</v>
      </c>
      <c r="I18" s="51">
        <v>170</v>
      </c>
      <c r="J18" s="51">
        <f>10+159</f>
        <v>169</v>
      </c>
      <c r="K18" s="51">
        <v>880</v>
      </c>
      <c r="L18" s="51">
        <f>+J18+320+377</f>
        <v>866</v>
      </c>
      <c r="M18" s="51">
        <f>+L18</f>
        <v>866</v>
      </c>
      <c r="N18" s="38">
        <f>IF(M18/K18&gt;100%,100%,M18/K18)</f>
        <v>0.98409090909090913</v>
      </c>
      <c r="O18" s="40" t="s">
        <v>151</v>
      </c>
    </row>
    <row r="19" spans="1:19" s="28" customFormat="1" ht="337.5" customHeight="1" x14ac:dyDescent="0.25">
      <c r="A19" s="56"/>
      <c r="B19" s="51" t="s">
        <v>41</v>
      </c>
      <c r="C19" s="51" t="s">
        <v>16</v>
      </c>
      <c r="D19" s="51" t="s">
        <v>120</v>
      </c>
      <c r="E19" s="51" t="s">
        <v>45</v>
      </c>
      <c r="F19" s="51" t="s">
        <v>45</v>
      </c>
      <c r="G19" s="51">
        <v>80</v>
      </c>
      <c r="H19" s="51">
        <v>80</v>
      </c>
      <c r="I19" s="51">
        <v>117</v>
      </c>
      <c r="J19" s="51">
        <v>117</v>
      </c>
      <c r="K19" s="51">
        <v>261</v>
      </c>
      <c r="L19" s="51">
        <f>+J19+29+84+35</f>
        <v>265</v>
      </c>
      <c r="M19" s="51">
        <f>+L19</f>
        <v>265</v>
      </c>
      <c r="N19" s="38">
        <f>IF(M19/K19&gt;100%,100%,M19/K19)</f>
        <v>1</v>
      </c>
      <c r="O19" s="50" t="s">
        <v>152</v>
      </c>
    </row>
    <row r="20" spans="1:19" s="28" customFormat="1" ht="409.6" customHeight="1" x14ac:dyDescent="0.25">
      <c r="A20" s="56"/>
      <c r="B20" s="51" t="s">
        <v>14</v>
      </c>
      <c r="C20" s="51" t="s">
        <v>16</v>
      </c>
      <c r="D20" s="51" t="s">
        <v>121</v>
      </c>
      <c r="E20" s="51" t="s">
        <v>45</v>
      </c>
      <c r="F20" s="51" t="s">
        <v>45</v>
      </c>
      <c r="G20" s="51" t="s">
        <v>45</v>
      </c>
      <c r="H20" s="51" t="s">
        <v>45</v>
      </c>
      <c r="I20" s="51" t="s">
        <v>45</v>
      </c>
      <c r="J20" s="51" t="s">
        <v>45</v>
      </c>
      <c r="K20" s="51">
        <v>68</v>
      </c>
      <c r="L20" s="51">
        <f>7+5+2+1+3+7</f>
        <v>25</v>
      </c>
      <c r="M20" s="51">
        <f>+L20</f>
        <v>25</v>
      </c>
      <c r="N20" s="46">
        <f>IF(M20/K20&gt;100%,100%,M20/K20)</f>
        <v>0.36764705882352944</v>
      </c>
      <c r="O20" s="50" t="s">
        <v>153</v>
      </c>
    </row>
    <row r="21" spans="1:19" s="28" customFormat="1" ht="289.5" customHeight="1" x14ac:dyDescent="0.25">
      <c r="A21" s="56"/>
      <c r="B21" s="56" t="s">
        <v>15</v>
      </c>
      <c r="C21" s="56" t="s">
        <v>16</v>
      </c>
      <c r="D21" s="51" t="s">
        <v>122</v>
      </c>
      <c r="E21" s="51">
        <v>2</v>
      </c>
      <c r="F21" s="51">
        <v>2</v>
      </c>
      <c r="G21" s="51">
        <v>2</v>
      </c>
      <c r="H21" s="51">
        <v>2</v>
      </c>
      <c r="I21" s="51">
        <v>24</v>
      </c>
      <c r="J21" s="51">
        <f>+H21+8+10+4</f>
        <v>24</v>
      </c>
      <c r="K21" s="51">
        <v>104</v>
      </c>
      <c r="L21" s="51">
        <f>+J21+3+58</f>
        <v>85</v>
      </c>
      <c r="M21" s="51">
        <f>+L21</f>
        <v>85</v>
      </c>
      <c r="N21" s="34">
        <f>IF(M21/K21&gt;100%,100%,M21/K21)</f>
        <v>0.81730769230769229</v>
      </c>
      <c r="O21" s="71" t="s">
        <v>133</v>
      </c>
    </row>
    <row r="22" spans="1:19" s="28" customFormat="1" ht="220.5" customHeight="1" x14ac:dyDescent="0.25">
      <c r="A22" s="56"/>
      <c r="B22" s="56"/>
      <c r="C22" s="56"/>
      <c r="D22" s="51" t="s">
        <v>115</v>
      </c>
      <c r="E22" s="51" t="s">
        <v>45</v>
      </c>
      <c r="F22" s="51" t="s">
        <v>45</v>
      </c>
      <c r="G22" s="51" t="s">
        <v>45</v>
      </c>
      <c r="H22" s="51" t="s">
        <v>45</v>
      </c>
      <c r="I22" s="51">
        <v>13</v>
      </c>
      <c r="J22" s="51">
        <v>13</v>
      </c>
      <c r="K22" s="51">
        <v>13</v>
      </c>
      <c r="L22" s="51">
        <v>13</v>
      </c>
      <c r="M22" s="51">
        <f>+J22</f>
        <v>13</v>
      </c>
      <c r="N22" s="34">
        <f>IF(M22/I22&gt;100%,100%,M22/I22)</f>
        <v>1</v>
      </c>
      <c r="O22" s="71"/>
    </row>
    <row r="23" spans="1:19" s="28" customFormat="1" ht="220.5" customHeight="1" x14ac:dyDescent="0.25">
      <c r="A23" s="56"/>
      <c r="B23" s="56"/>
      <c r="C23" s="56"/>
      <c r="D23" s="51" t="s">
        <v>123</v>
      </c>
      <c r="E23" s="51" t="s">
        <v>45</v>
      </c>
      <c r="F23" s="51" t="s">
        <v>45</v>
      </c>
      <c r="G23" s="51" t="s">
        <v>45</v>
      </c>
      <c r="H23" s="51" t="s">
        <v>45</v>
      </c>
      <c r="I23" s="51">
        <v>600</v>
      </c>
      <c r="J23" s="51">
        <f>200+400</f>
        <v>600</v>
      </c>
      <c r="K23" s="51">
        <v>3740</v>
      </c>
      <c r="L23" s="51">
        <f>+J23+2748</f>
        <v>3348</v>
      </c>
      <c r="M23" s="51">
        <f t="shared" ref="M23:M28" si="1">+L23</f>
        <v>3348</v>
      </c>
      <c r="N23" s="34">
        <f t="shared" ref="N23:N29" si="2">IF(M23/K23&gt;100%,100%,M23/K23)</f>
        <v>0.89518716577540103</v>
      </c>
      <c r="O23" s="71"/>
    </row>
    <row r="24" spans="1:19" s="28" customFormat="1" ht="409.5" x14ac:dyDescent="0.25">
      <c r="A24" s="56"/>
      <c r="B24" s="51" t="s">
        <v>17</v>
      </c>
      <c r="C24" s="51" t="s">
        <v>16</v>
      </c>
      <c r="D24" s="51" t="s">
        <v>124</v>
      </c>
      <c r="E24" s="51">
        <v>3</v>
      </c>
      <c r="F24" s="51">
        <v>3</v>
      </c>
      <c r="G24" s="51">
        <v>5</v>
      </c>
      <c r="H24" s="51">
        <f>+F24+2</f>
        <v>5</v>
      </c>
      <c r="I24" s="51">
        <v>5</v>
      </c>
      <c r="J24" s="51">
        <f>+H24+1</f>
        <v>6</v>
      </c>
      <c r="K24" s="51">
        <v>17</v>
      </c>
      <c r="L24" s="51">
        <f>+J24+11+1</f>
        <v>18</v>
      </c>
      <c r="M24" s="28">
        <f t="shared" si="1"/>
        <v>18</v>
      </c>
      <c r="N24" s="34">
        <f t="shared" si="2"/>
        <v>1</v>
      </c>
      <c r="O24" s="50" t="s">
        <v>165</v>
      </c>
      <c r="P24" s="96"/>
    </row>
    <row r="25" spans="1:19" s="28" customFormat="1" ht="293.25" customHeight="1" x14ac:dyDescent="0.25">
      <c r="A25" s="56"/>
      <c r="B25" s="51" t="s">
        <v>18</v>
      </c>
      <c r="C25" s="51" t="s">
        <v>16</v>
      </c>
      <c r="D25" s="51" t="s">
        <v>125</v>
      </c>
      <c r="E25" s="51">
        <v>71</v>
      </c>
      <c r="F25" s="51">
        <v>69</v>
      </c>
      <c r="G25" s="51">
        <v>140</v>
      </c>
      <c r="H25" s="51">
        <f>+F25+29+19+25</f>
        <v>142</v>
      </c>
      <c r="I25" s="51">
        <v>190</v>
      </c>
      <c r="J25" s="51">
        <f>+H25+82</f>
        <v>224</v>
      </c>
      <c r="K25" s="51">
        <v>600</v>
      </c>
      <c r="L25" s="51">
        <f>+J25+71</f>
        <v>295</v>
      </c>
      <c r="M25" s="51">
        <f t="shared" si="1"/>
        <v>295</v>
      </c>
      <c r="N25" s="34">
        <f t="shared" si="2"/>
        <v>0.49166666666666664</v>
      </c>
      <c r="O25" s="50" t="s">
        <v>134</v>
      </c>
      <c r="P25" s="96"/>
    </row>
    <row r="26" spans="1:19" s="28" customFormat="1" ht="409.5" customHeight="1" x14ac:dyDescent="0.25">
      <c r="A26" s="56" t="s">
        <v>19</v>
      </c>
      <c r="B26" s="51" t="s">
        <v>20</v>
      </c>
      <c r="C26" s="51" t="s">
        <v>23</v>
      </c>
      <c r="D26" s="51" t="s">
        <v>126</v>
      </c>
      <c r="E26" s="51" t="s">
        <v>45</v>
      </c>
      <c r="F26" s="51" t="s">
        <v>45</v>
      </c>
      <c r="G26" s="51" t="s">
        <v>45</v>
      </c>
      <c r="H26" s="51" t="s">
        <v>45</v>
      </c>
      <c r="I26" s="51" t="s">
        <v>45</v>
      </c>
      <c r="J26" s="51" t="s">
        <v>45</v>
      </c>
      <c r="K26" s="35">
        <v>30000</v>
      </c>
      <c r="L26" s="35">
        <v>26148</v>
      </c>
      <c r="M26" s="35">
        <f t="shared" si="1"/>
        <v>26148</v>
      </c>
      <c r="N26" s="34">
        <f t="shared" si="2"/>
        <v>0.87160000000000004</v>
      </c>
      <c r="O26" s="50" t="s">
        <v>135</v>
      </c>
    </row>
    <row r="27" spans="1:19" s="28" customFormat="1" ht="409.5" customHeight="1" x14ac:dyDescent="0.25">
      <c r="A27" s="56"/>
      <c r="B27" s="56" t="s">
        <v>21</v>
      </c>
      <c r="C27" s="51" t="s">
        <v>23</v>
      </c>
      <c r="D27" s="51" t="s">
        <v>126</v>
      </c>
      <c r="E27" s="35">
        <v>1350</v>
      </c>
      <c r="F27" s="35">
        <v>2714</v>
      </c>
      <c r="G27" s="35">
        <f>+E27+1500</f>
        <v>2850</v>
      </c>
      <c r="H27" s="35">
        <f>+F27+7828+105+4681+30</f>
        <v>15358</v>
      </c>
      <c r="I27" s="35">
        <v>28100</v>
      </c>
      <c r="J27" s="35">
        <f>+H27+2698+65246</f>
        <v>83302</v>
      </c>
      <c r="K27" s="35">
        <v>30000</v>
      </c>
      <c r="L27" s="35">
        <f>+J27+1240+458+119285</f>
        <v>204285</v>
      </c>
      <c r="M27" s="35">
        <f t="shared" si="1"/>
        <v>204285</v>
      </c>
      <c r="N27" s="34">
        <f t="shared" si="2"/>
        <v>1</v>
      </c>
      <c r="O27" s="83" t="s">
        <v>136</v>
      </c>
      <c r="S27" s="29"/>
    </row>
    <row r="28" spans="1:19" s="16" customFormat="1" ht="229.5" customHeight="1" x14ac:dyDescent="0.3">
      <c r="A28" s="56"/>
      <c r="B28" s="56"/>
      <c r="C28" s="51" t="s">
        <v>23</v>
      </c>
      <c r="D28" s="51" t="s">
        <v>127</v>
      </c>
      <c r="E28" s="52">
        <v>1</v>
      </c>
      <c r="F28" s="52">
        <v>1</v>
      </c>
      <c r="G28" s="52">
        <v>1</v>
      </c>
      <c r="H28" s="52">
        <v>0</v>
      </c>
      <c r="I28" s="52">
        <v>1</v>
      </c>
      <c r="J28" s="52">
        <v>1</v>
      </c>
      <c r="K28" s="52">
        <v>1</v>
      </c>
      <c r="L28" s="52">
        <v>1</v>
      </c>
      <c r="M28" s="34">
        <f t="shared" si="1"/>
        <v>1</v>
      </c>
      <c r="N28" s="34">
        <f t="shared" si="2"/>
        <v>1</v>
      </c>
      <c r="O28" s="84"/>
      <c r="S28" s="17"/>
    </row>
    <row r="29" spans="1:19" s="16" customFormat="1" ht="409.5" customHeight="1" x14ac:dyDescent="0.3">
      <c r="A29" s="56"/>
      <c r="B29" s="51" t="s">
        <v>22</v>
      </c>
      <c r="C29" s="51" t="s">
        <v>23</v>
      </c>
      <c r="D29" s="51" t="s">
        <v>128</v>
      </c>
      <c r="E29" s="35">
        <v>204000</v>
      </c>
      <c r="F29" s="35">
        <f>580372+10544+12335</f>
        <v>603251</v>
      </c>
      <c r="G29" s="35">
        <v>817000</v>
      </c>
      <c r="H29" s="35">
        <f>+F29+106217</f>
        <v>709468</v>
      </c>
      <c r="I29" s="35">
        <v>1221000</v>
      </c>
      <c r="J29" s="35">
        <f>+H29+339643+43078+171471</f>
        <v>1263660</v>
      </c>
      <c r="K29" s="35">
        <v>1627870</v>
      </c>
      <c r="L29" s="35">
        <f>+J29+381719+51503+98862</f>
        <v>1795744</v>
      </c>
      <c r="M29" s="35">
        <f>+L29</f>
        <v>1795744</v>
      </c>
      <c r="N29" s="34">
        <f t="shared" si="2"/>
        <v>1</v>
      </c>
      <c r="O29" s="41" t="s">
        <v>137</v>
      </c>
      <c r="S29" s="17"/>
    </row>
    <row r="30" spans="1:19" s="16" customFormat="1" ht="409.6" customHeight="1" x14ac:dyDescent="0.3">
      <c r="A30" s="56"/>
      <c r="B30" s="51" t="s">
        <v>24</v>
      </c>
      <c r="C30" s="51" t="s">
        <v>23</v>
      </c>
      <c r="D30" s="51" t="s">
        <v>129</v>
      </c>
      <c r="E30" s="35">
        <v>3000</v>
      </c>
      <c r="F30" s="35">
        <v>3000</v>
      </c>
      <c r="G30" s="35">
        <v>20000</v>
      </c>
      <c r="H30" s="35">
        <v>20000</v>
      </c>
      <c r="I30" s="35">
        <f>55000+48500</f>
        <v>103500</v>
      </c>
      <c r="J30" s="35">
        <f>+H30+35000+14473</f>
        <v>69473</v>
      </c>
      <c r="K30" s="35">
        <f>62000+131000</f>
        <v>193000</v>
      </c>
      <c r="L30" s="35">
        <f>+J30+18738+58872</f>
        <v>147083</v>
      </c>
      <c r="M30" s="35">
        <f>+J30+18738+58872</f>
        <v>147083</v>
      </c>
      <c r="N30" s="34">
        <f t="shared" ref="N30:N35" si="3">IF(M30/K30&gt;100%,100%,M30/K30)</f>
        <v>0.76208808290155439</v>
      </c>
      <c r="O30" s="41" t="s">
        <v>138</v>
      </c>
      <c r="S30" s="17"/>
    </row>
    <row r="31" spans="1:19" s="16" customFormat="1" ht="408.75" customHeight="1" x14ac:dyDescent="0.3">
      <c r="A31" s="56"/>
      <c r="B31" s="51" t="s">
        <v>42</v>
      </c>
      <c r="C31" s="51" t="s">
        <v>23</v>
      </c>
      <c r="D31" s="51" t="s">
        <v>130</v>
      </c>
      <c r="E31" s="51" t="s">
        <v>45</v>
      </c>
      <c r="F31" s="51" t="s">
        <v>45</v>
      </c>
      <c r="G31" s="51">
        <v>75</v>
      </c>
      <c r="H31" s="51">
        <v>254</v>
      </c>
      <c r="I31" s="51">
        <v>80</v>
      </c>
      <c r="J31" s="51">
        <f>+H31+6</f>
        <v>260</v>
      </c>
      <c r="K31" s="51">
        <v>5753</v>
      </c>
      <c r="L31" s="35">
        <f>+J31+382+186+26+234785</f>
        <v>235639</v>
      </c>
      <c r="M31" s="35">
        <f t="shared" ref="M31:M36" si="4">+L31</f>
        <v>235639</v>
      </c>
      <c r="N31" s="34">
        <f t="shared" si="3"/>
        <v>1</v>
      </c>
      <c r="O31" s="50" t="s">
        <v>139</v>
      </c>
      <c r="S31" s="17"/>
    </row>
    <row r="32" spans="1:19" s="16" customFormat="1" ht="138.75" customHeight="1" x14ac:dyDescent="0.3">
      <c r="A32" s="56" t="s">
        <v>68</v>
      </c>
      <c r="B32" s="56" t="s">
        <v>46</v>
      </c>
      <c r="C32" s="85" t="s">
        <v>16</v>
      </c>
      <c r="D32" s="51" t="s">
        <v>47</v>
      </c>
      <c r="E32" s="51" t="s">
        <v>45</v>
      </c>
      <c r="F32" s="51" t="s">
        <v>45</v>
      </c>
      <c r="G32" s="52">
        <v>0.2</v>
      </c>
      <c r="H32" s="42">
        <v>0.2092</v>
      </c>
      <c r="I32" s="52">
        <v>0.2</v>
      </c>
      <c r="J32" s="42">
        <v>0.24840000000000001</v>
      </c>
      <c r="K32" s="52">
        <v>1</v>
      </c>
      <c r="L32" s="52">
        <v>1</v>
      </c>
      <c r="M32" s="42">
        <f t="shared" si="4"/>
        <v>1</v>
      </c>
      <c r="N32" s="34">
        <f t="shared" si="3"/>
        <v>1</v>
      </c>
      <c r="O32" s="71" t="s">
        <v>140</v>
      </c>
      <c r="S32" s="17"/>
    </row>
    <row r="33" spans="1:19" s="16" customFormat="1" ht="237" customHeight="1" x14ac:dyDescent="0.3">
      <c r="A33" s="56"/>
      <c r="B33" s="56"/>
      <c r="C33" s="86"/>
      <c r="D33" s="51" t="s">
        <v>48</v>
      </c>
      <c r="E33" s="51" t="s">
        <v>45</v>
      </c>
      <c r="F33" s="51" t="s">
        <v>45</v>
      </c>
      <c r="G33" s="51">
        <v>50</v>
      </c>
      <c r="H33" s="51">
        <v>39</v>
      </c>
      <c r="I33" s="51">
        <v>50</v>
      </c>
      <c r="J33" s="51">
        <v>53</v>
      </c>
      <c r="K33" s="51">
        <v>150</v>
      </c>
      <c r="L33" s="51">
        <f>+J33+104</f>
        <v>157</v>
      </c>
      <c r="M33" s="47">
        <f t="shared" si="4"/>
        <v>157</v>
      </c>
      <c r="N33" s="34">
        <f t="shared" si="3"/>
        <v>1</v>
      </c>
      <c r="O33" s="71"/>
      <c r="S33" s="17"/>
    </row>
    <row r="34" spans="1:19" s="23" customFormat="1" ht="196.5" customHeight="1" x14ac:dyDescent="0.25">
      <c r="A34" s="56"/>
      <c r="B34" s="51" t="s">
        <v>49</v>
      </c>
      <c r="C34" s="51" t="s">
        <v>16</v>
      </c>
      <c r="D34" s="51" t="s">
        <v>53</v>
      </c>
      <c r="E34" s="51" t="s">
        <v>45</v>
      </c>
      <c r="F34" s="51" t="s">
        <v>45</v>
      </c>
      <c r="G34" s="51" t="s">
        <v>45</v>
      </c>
      <c r="H34" s="51" t="s">
        <v>45</v>
      </c>
      <c r="I34" s="51" t="s">
        <v>45</v>
      </c>
      <c r="J34" s="51" t="s">
        <v>45</v>
      </c>
      <c r="K34" s="51">
        <v>80</v>
      </c>
      <c r="L34" s="51">
        <v>80</v>
      </c>
      <c r="M34" s="47">
        <f t="shared" si="4"/>
        <v>80</v>
      </c>
      <c r="N34" s="34">
        <f t="shared" si="3"/>
        <v>1</v>
      </c>
      <c r="O34" s="50" t="s">
        <v>141</v>
      </c>
    </row>
    <row r="35" spans="1:19" s="16" customFormat="1" ht="409.5" customHeight="1" x14ac:dyDescent="0.3">
      <c r="A35" s="56"/>
      <c r="B35" s="51" t="s">
        <v>50</v>
      </c>
      <c r="C35" s="51" t="s">
        <v>52</v>
      </c>
      <c r="D35" s="51" t="s">
        <v>54</v>
      </c>
      <c r="E35" s="51" t="s">
        <v>45</v>
      </c>
      <c r="F35" s="51" t="s">
        <v>45</v>
      </c>
      <c r="G35" s="51" t="s">
        <v>45</v>
      </c>
      <c r="H35" s="51" t="s">
        <v>45</v>
      </c>
      <c r="I35" s="51">
        <v>2</v>
      </c>
      <c r="J35" s="51">
        <v>1</v>
      </c>
      <c r="K35" s="51">
        <v>2</v>
      </c>
      <c r="L35" s="51">
        <v>2</v>
      </c>
      <c r="M35" s="47">
        <f t="shared" si="4"/>
        <v>2</v>
      </c>
      <c r="N35" s="34">
        <f t="shared" si="3"/>
        <v>1</v>
      </c>
      <c r="O35" s="50" t="s">
        <v>142</v>
      </c>
    </row>
    <row r="36" spans="1:19" s="16" customFormat="1" ht="212.25" customHeight="1" x14ac:dyDescent="0.3">
      <c r="A36" s="56"/>
      <c r="B36" s="51" t="s">
        <v>51</v>
      </c>
      <c r="C36" s="51" t="s">
        <v>52</v>
      </c>
      <c r="D36" s="51" t="s">
        <v>55</v>
      </c>
      <c r="E36" s="51" t="s">
        <v>45</v>
      </c>
      <c r="F36" s="51" t="s">
        <v>45</v>
      </c>
      <c r="G36" s="51" t="s">
        <v>45</v>
      </c>
      <c r="H36" s="51" t="s">
        <v>45</v>
      </c>
      <c r="I36" s="51">
        <v>2</v>
      </c>
      <c r="J36" s="51">
        <v>1</v>
      </c>
      <c r="K36" s="51">
        <v>2</v>
      </c>
      <c r="L36" s="51">
        <v>2</v>
      </c>
      <c r="M36" s="47">
        <f t="shared" si="4"/>
        <v>2</v>
      </c>
      <c r="N36" s="34">
        <f>IF(M36/K36&gt;100%,100%,M36/K36)</f>
        <v>1</v>
      </c>
      <c r="O36" s="41" t="s">
        <v>143</v>
      </c>
    </row>
    <row r="37" spans="1:19" s="16" customFormat="1" ht="170.25" customHeight="1" x14ac:dyDescent="0.3">
      <c r="A37" s="56" t="s">
        <v>69</v>
      </c>
      <c r="B37" s="51" t="s">
        <v>56</v>
      </c>
      <c r="C37" s="51" t="s">
        <v>65</v>
      </c>
      <c r="D37" s="51" t="s">
        <v>58</v>
      </c>
      <c r="E37" s="51">
        <v>33</v>
      </c>
      <c r="F37" s="51">
        <v>33</v>
      </c>
      <c r="G37" s="51">
        <v>33</v>
      </c>
      <c r="H37" s="51">
        <v>33</v>
      </c>
      <c r="I37" s="51">
        <v>33</v>
      </c>
      <c r="J37" s="51">
        <v>33</v>
      </c>
      <c r="K37" s="51">
        <v>33</v>
      </c>
      <c r="L37" s="51">
        <f>+K37</f>
        <v>33</v>
      </c>
      <c r="M37" s="51">
        <f>+L37</f>
        <v>33</v>
      </c>
      <c r="N37" s="34">
        <f>IF(M37/K37&gt;100%,100%,M37/K37)</f>
        <v>1</v>
      </c>
      <c r="O37" s="50" t="s">
        <v>144</v>
      </c>
    </row>
    <row r="38" spans="1:19" s="23" customFormat="1" ht="65.25" customHeight="1" x14ac:dyDescent="0.25">
      <c r="A38" s="56"/>
      <c r="B38" s="56" t="s">
        <v>57</v>
      </c>
      <c r="C38" s="51" t="s">
        <v>65</v>
      </c>
      <c r="D38" s="51" t="s">
        <v>59</v>
      </c>
      <c r="E38" s="51" t="s">
        <v>45</v>
      </c>
      <c r="F38" s="51" t="s">
        <v>45</v>
      </c>
      <c r="G38" s="51">
        <v>8</v>
      </c>
      <c r="H38" s="51">
        <v>9</v>
      </c>
      <c r="I38" s="51">
        <v>8</v>
      </c>
      <c r="J38" s="51">
        <v>9</v>
      </c>
      <c r="K38" s="51">
        <v>33</v>
      </c>
      <c r="L38" s="51">
        <v>17</v>
      </c>
      <c r="M38" s="51">
        <f t="shared" ref="M38:M43" si="5">+L38</f>
        <v>17</v>
      </c>
      <c r="N38" s="34">
        <f>IF(M38/K38&gt;100%,100%,M38/K38)</f>
        <v>0.51515151515151514</v>
      </c>
      <c r="O38" s="71" t="s">
        <v>145</v>
      </c>
      <c r="P38" s="31"/>
    </row>
    <row r="39" spans="1:19" s="23" customFormat="1" ht="132.75" customHeight="1" x14ac:dyDescent="0.25">
      <c r="A39" s="56"/>
      <c r="B39" s="56"/>
      <c r="C39" s="51" t="s">
        <v>65</v>
      </c>
      <c r="D39" s="51" t="s">
        <v>60</v>
      </c>
      <c r="E39" s="34">
        <v>7.0000000000000007E-2</v>
      </c>
      <c r="F39" s="39">
        <v>8.5999999999999993E-2</v>
      </c>
      <c r="G39" s="39">
        <v>0.245</v>
      </c>
      <c r="H39" s="42">
        <v>0.14399999999999999</v>
      </c>
      <c r="I39" s="39">
        <v>0.45500000000000002</v>
      </c>
      <c r="J39" s="42">
        <v>0.23699999999999999</v>
      </c>
      <c r="K39" s="52">
        <v>0.7</v>
      </c>
      <c r="L39" s="42">
        <v>0.313</v>
      </c>
      <c r="M39" s="42">
        <f t="shared" si="5"/>
        <v>0.313</v>
      </c>
      <c r="N39" s="34">
        <f>IF(M39/I39&gt;100%,100%,M39/I39)</f>
        <v>0.68791208791208791</v>
      </c>
      <c r="O39" s="71"/>
    </row>
    <row r="40" spans="1:19" s="16" customFormat="1" ht="312.75" customHeight="1" x14ac:dyDescent="0.3">
      <c r="A40" s="56" t="s">
        <v>70</v>
      </c>
      <c r="B40" s="51" t="s">
        <v>61</v>
      </c>
      <c r="C40" s="51" t="s">
        <v>71</v>
      </c>
      <c r="D40" s="51" t="s">
        <v>62</v>
      </c>
      <c r="E40" s="51">
        <v>1</v>
      </c>
      <c r="F40" s="51">
        <v>1</v>
      </c>
      <c r="G40" s="51">
        <v>3</v>
      </c>
      <c r="H40" s="51">
        <v>3</v>
      </c>
      <c r="I40" s="51">
        <v>5</v>
      </c>
      <c r="J40" s="51">
        <v>5</v>
      </c>
      <c r="K40" s="51">
        <v>7</v>
      </c>
      <c r="L40" s="51">
        <v>7</v>
      </c>
      <c r="M40" s="51">
        <f t="shared" si="5"/>
        <v>7</v>
      </c>
      <c r="N40" s="34">
        <f>IF(M40/I40&gt;100%,100%,M40/I40)</f>
        <v>1</v>
      </c>
      <c r="O40" s="37" t="s">
        <v>146</v>
      </c>
    </row>
    <row r="41" spans="1:19" s="16" customFormat="1" ht="131.25" customHeight="1" x14ac:dyDescent="0.3">
      <c r="A41" s="56"/>
      <c r="B41" s="51" t="s">
        <v>63</v>
      </c>
      <c r="C41" s="51" t="s">
        <v>71</v>
      </c>
      <c r="D41" s="51" t="s">
        <v>64</v>
      </c>
      <c r="E41" s="51" t="s">
        <v>45</v>
      </c>
      <c r="F41" s="51" t="s">
        <v>45</v>
      </c>
      <c r="G41" s="51" t="s">
        <v>45</v>
      </c>
      <c r="H41" s="51" t="s">
        <v>45</v>
      </c>
      <c r="I41" s="51" t="s">
        <v>45</v>
      </c>
      <c r="J41" s="51" t="s">
        <v>45</v>
      </c>
      <c r="K41" s="51">
        <v>18</v>
      </c>
      <c r="L41" s="51">
        <v>14</v>
      </c>
      <c r="M41" s="51">
        <f t="shared" si="5"/>
        <v>14</v>
      </c>
      <c r="N41" s="34">
        <f>IF(M41/K41&gt;100%,100%,M41/K41)</f>
        <v>0.77777777777777779</v>
      </c>
      <c r="O41" s="41" t="s">
        <v>154</v>
      </c>
    </row>
    <row r="42" spans="1:19" s="16" customFormat="1" ht="180.75" customHeight="1" x14ac:dyDescent="0.3">
      <c r="A42" s="56"/>
      <c r="B42" s="51" t="s">
        <v>66</v>
      </c>
      <c r="C42" s="51" t="s">
        <v>71</v>
      </c>
      <c r="D42" s="51" t="s">
        <v>67</v>
      </c>
      <c r="E42" s="51" t="s">
        <v>45</v>
      </c>
      <c r="F42" s="51" t="s">
        <v>45</v>
      </c>
      <c r="G42" s="51" t="s">
        <v>45</v>
      </c>
      <c r="H42" s="51" t="s">
        <v>45</v>
      </c>
      <c r="I42" s="51">
        <v>1</v>
      </c>
      <c r="J42" s="51">
        <v>1</v>
      </c>
      <c r="K42" s="51">
        <v>2</v>
      </c>
      <c r="L42" s="51">
        <v>2</v>
      </c>
      <c r="M42" s="51">
        <f t="shared" si="5"/>
        <v>2</v>
      </c>
      <c r="N42" s="34">
        <f>IF(M42/K42&gt;100%,100%,M42/K42)</f>
        <v>1</v>
      </c>
      <c r="O42" s="41" t="s">
        <v>147</v>
      </c>
    </row>
    <row r="43" spans="1:19" s="16" customFormat="1" ht="223.5" customHeight="1" x14ac:dyDescent="0.3">
      <c r="A43" s="56" t="s">
        <v>101</v>
      </c>
      <c r="B43" s="56" t="s">
        <v>72</v>
      </c>
      <c r="C43" s="56" t="s">
        <v>103</v>
      </c>
      <c r="D43" s="51" t="s">
        <v>73</v>
      </c>
      <c r="E43" s="51" t="s">
        <v>45</v>
      </c>
      <c r="F43" s="51" t="s">
        <v>45</v>
      </c>
      <c r="G43" s="52">
        <v>0.8</v>
      </c>
      <c r="H43" s="52">
        <v>0.84</v>
      </c>
      <c r="I43" s="52">
        <v>0.8</v>
      </c>
      <c r="J43" s="52">
        <v>0.84</v>
      </c>
      <c r="K43" s="52">
        <v>0.85</v>
      </c>
      <c r="L43" s="52">
        <v>0.81</v>
      </c>
      <c r="M43" s="34">
        <f t="shared" si="5"/>
        <v>0.81</v>
      </c>
      <c r="N43" s="34">
        <f t="shared" ref="N43:N48" si="6">IF(M43/K43&gt;100%,100%,M43/K43)</f>
        <v>0.95294117647058829</v>
      </c>
      <c r="O43" s="71" t="s">
        <v>164</v>
      </c>
    </row>
    <row r="44" spans="1:19" s="16" customFormat="1" ht="95.25" customHeight="1" x14ac:dyDescent="0.3">
      <c r="A44" s="56"/>
      <c r="B44" s="56"/>
      <c r="C44" s="56"/>
      <c r="D44" s="51" t="s">
        <v>74</v>
      </c>
      <c r="E44" s="52">
        <v>1</v>
      </c>
      <c r="F44" s="52">
        <v>1</v>
      </c>
      <c r="G44" s="52">
        <v>1</v>
      </c>
      <c r="H44" s="52">
        <v>1</v>
      </c>
      <c r="I44" s="52">
        <v>1</v>
      </c>
      <c r="J44" s="52">
        <v>1</v>
      </c>
      <c r="K44" s="52">
        <v>1</v>
      </c>
      <c r="L44" s="52">
        <v>1</v>
      </c>
      <c r="M44" s="34">
        <f>+H44</f>
        <v>1</v>
      </c>
      <c r="N44" s="34">
        <f t="shared" si="6"/>
        <v>1</v>
      </c>
      <c r="O44" s="71"/>
    </row>
    <row r="45" spans="1:19" s="23" customFormat="1" ht="117.75" customHeight="1" x14ac:dyDescent="0.25">
      <c r="A45" s="56"/>
      <c r="B45" s="56"/>
      <c r="C45" s="56"/>
      <c r="D45" s="51" t="s">
        <v>75</v>
      </c>
      <c r="E45" s="52">
        <v>1</v>
      </c>
      <c r="F45" s="52">
        <v>1</v>
      </c>
      <c r="G45" s="52">
        <v>1</v>
      </c>
      <c r="H45" s="52">
        <v>1</v>
      </c>
      <c r="I45" s="52">
        <v>1</v>
      </c>
      <c r="J45" s="52">
        <v>1</v>
      </c>
      <c r="K45" s="52">
        <v>1</v>
      </c>
      <c r="L45" s="52">
        <v>1</v>
      </c>
      <c r="M45" s="34">
        <f>+H45</f>
        <v>1</v>
      </c>
      <c r="N45" s="34">
        <f t="shared" si="6"/>
        <v>1</v>
      </c>
      <c r="O45" s="71"/>
    </row>
    <row r="46" spans="1:19" s="23" customFormat="1" ht="147.75" customHeight="1" x14ac:dyDescent="0.25">
      <c r="A46" s="56"/>
      <c r="B46" s="56" t="s">
        <v>76</v>
      </c>
      <c r="C46" s="56" t="s">
        <v>104</v>
      </c>
      <c r="D46" s="51" t="s">
        <v>77</v>
      </c>
      <c r="E46" s="52">
        <v>0.2</v>
      </c>
      <c r="F46" s="52">
        <v>0.2</v>
      </c>
      <c r="G46" s="52">
        <v>0.5</v>
      </c>
      <c r="H46" s="52">
        <v>0.5</v>
      </c>
      <c r="I46" s="52">
        <v>0.75</v>
      </c>
      <c r="J46" s="52">
        <v>0.75</v>
      </c>
      <c r="K46" s="52">
        <v>1</v>
      </c>
      <c r="L46" s="52">
        <v>1</v>
      </c>
      <c r="M46" s="34">
        <f>+J46</f>
        <v>0.75</v>
      </c>
      <c r="N46" s="34">
        <f t="shared" si="6"/>
        <v>0.75</v>
      </c>
      <c r="O46" s="71" t="s">
        <v>156</v>
      </c>
    </row>
    <row r="47" spans="1:19" s="16" customFormat="1" ht="157.5" customHeight="1" x14ac:dyDescent="0.3">
      <c r="A47" s="56"/>
      <c r="B47" s="56"/>
      <c r="C47" s="56"/>
      <c r="D47" s="51" t="s">
        <v>80</v>
      </c>
      <c r="E47" s="51" t="s">
        <v>45</v>
      </c>
      <c r="F47" s="51" t="s">
        <v>45</v>
      </c>
      <c r="G47" s="35">
        <v>1104200</v>
      </c>
      <c r="H47" s="35">
        <v>999017</v>
      </c>
      <c r="I47" s="35">
        <v>1104200</v>
      </c>
      <c r="J47" s="35">
        <f>+H47</f>
        <v>999017</v>
      </c>
      <c r="K47" s="35">
        <v>2208400</v>
      </c>
      <c r="L47" s="35">
        <f>+J47+1531960+9458</f>
        <v>2540435</v>
      </c>
      <c r="M47" s="48">
        <f>+L47</f>
        <v>2540435</v>
      </c>
      <c r="N47" s="34">
        <f>IF(M47/K47&gt;100%,100%,M47/K47)</f>
        <v>1</v>
      </c>
      <c r="O47" s="71"/>
    </row>
    <row r="48" spans="1:19" s="23" customFormat="1" ht="157.5" customHeight="1" x14ac:dyDescent="0.25">
      <c r="A48" s="56"/>
      <c r="B48" s="56"/>
      <c r="C48" s="56"/>
      <c r="D48" s="51" t="s">
        <v>78</v>
      </c>
      <c r="E48" s="52">
        <v>1</v>
      </c>
      <c r="F48" s="52">
        <v>1</v>
      </c>
      <c r="G48" s="52">
        <v>1</v>
      </c>
      <c r="H48" s="52">
        <v>1</v>
      </c>
      <c r="I48" s="52">
        <v>1</v>
      </c>
      <c r="J48" s="52">
        <v>1</v>
      </c>
      <c r="K48" s="52">
        <v>1</v>
      </c>
      <c r="L48" s="52">
        <v>1</v>
      </c>
      <c r="M48" s="34">
        <f>+J48</f>
        <v>1</v>
      </c>
      <c r="N48" s="34">
        <f t="shared" si="6"/>
        <v>1</v>
      </c>
      <c r="O48" s="71"/>
    </row>
    <row r="49" spans="1:87" s="16" customFormat="1" ht="150.75" customHeight="1" x14ac:dyDescent="0.3">
      <c r="A49" s="56"/>
      <c r="B49" s="56"/>
      <c r="C49" s="56"/>
      <c r="D49" s="51" t="s">
        <v>79</v>
      </c>
      <c r="E49" s="52">
        <v>0.89</v>
      </c>
      <c r="F49" s="52">
        <v>0.89</v>
      </c>
      <c r="G49" s="52">
        <v>0.89</v>
      </c>
      <c r="H49" s="52">
        <v>0.89</v>
      </c>
      <c r="I49" s="52">
        <v>0.89</v>
      </c>
      <c r="J49" s="52">
        <v>1</v>
      </c>
      <c r="K49" s="52">
        <v>1</v>
      </c>
      <c r="L49" s="52">
        <v>1</v>
      </c>
      <c r="M49" s="34">
        <f>+J49</f>
        <v>1</v>
      </c>
      <c r="N49" s="34">
        <f>IF(M49/K49&gt;100%,100%,M49/K49)</f>
        <v>1</v>
      </c>
      <c r="O49" s="71"/>
    </row>
    <row r="50" spans="1:87" s="23" customFormat="1" ht="202.5" customHeight="1" x14ac:dyDescent="0.25">
      <c r="A50" s="56"/>
      <c r="B50" s="56" t="s">
        <v>81</v>
      </c>
      <c r="C50" s="56" t="s">
        <v>103</v>
      </c>
      <c r="D50" s="51" t="s">
        <v>82</v>
      </c>
      <c r="E50" s="51">
        <v>0.75</v>
      </c>
      <c r="F50" s="51">
        <v>0</v>
      </c>
      <c r="G50" s="51">
        <v>1.5</v>
      </c>
      <c r="H50" s="51">
        <v>1.5</v>
      </c>
      <c r="I50" s="51">
        <v>2.25</v>
      </c>
      <c r="J50" s="51">
        <v>2.8</v>
      </c>
      <c r="K50" s="51">
        <v>3</v>
      </c>
      <c r="L50" s="51">
        <v>5.9</v>
      </c>
      <c r="M50" s="34">
        <f>+L50</f>
        <v>5.9</v>
      </c>
      <c r="N50" s="34">
        <f>IF(M50/K50&gt;100%,100%,M50/K50)</f>
        <v>1</v>
      </c>
      <c r="O50" s="71" t="s">
        <v>157</v>
      </c>
    </row>
    <row r="51" spans="1:87" s="25" customFormat="1" ht="234" customHeight="1" x14ac:dyDescent="0.25">
      <c r="A51" s="56"/>
      <c r="B51" s="56"/>
      <c r="C51" s="56"/>
      <c r="D51" s="51" t="s">
        <v>74</v>
      </c>
      <c r="E51" s="52">
        <v>1</v>
      </c>
      <c r="F51" s="52">
        <v>0.99</v>
      </c>
      <c r="G51" s="52">
        <v>1</v>
      </c>
      <c r="H51" s="52">
        <v>1</v>
      </c>
      <c r="I51" s="52">
        <v>1</v>
      </c>
      <c r="J51" s="52">
        <v>1</v>
      </c>
      <c r="K51" s="52">
        <v>1</v>
      </c>
      <c r="L51" s="52">
        <v>1</v>
      </c>
      <c r="M51" s="34">
        <f t="shared" ref="M51:M57" si="7">+L51</f>
        <v>1</v>
      </c>
      <c r="N51" s="34">
        <f t="shared" ref="N51:N59" si="8">IF(M51/K51&gt;100%,100%,M51/K51)</f>
        <v>1</v>
      </c>
      <c r="O51" s="71"/>
    </row>
    <row r="52" spans="1:87" s="23" customFormat="1" ht="289.5" customHeight="1" x14ac:dyDescent="0.25">
      <c r="A52" s="56"/>
      <c r="B52" s="56" t="s">
        <v>83</v>
      </c>
      <c r="C52" s="56" t="s">
        <v>105</v>
      </c>
      <c r="D52" s="51" t="s">
        <v>84</v>
      </c>
      <c r="E52" s="52">
        <v>1</v>
      </c>
      <c r="F52" s="52">
        <v>1</v>
      </c>
      <c r="G52" s="52">
        <v>1</v>
      </c>
      <c r="H52" s="52">
        <v>1</v>
      </c>
      <c r="I52" s="52">
        <v>1</v>
      </c>
      <c r="J52" s="52">
        <v>1</v>
      </c>
      <c r="K52" s="52">
        <v>1</v>
      </c>
      <c r="L52" s="52">
        <v>1</v>
      </c>
      <c r="M52" s="34">
        <f t="shared" si="7"/>
        <v>1</v>
      </c>
      <c r="N52" s="34">
        <f t="shared" si="8"/>
        <v>1</v>
      </c>
      <c r="O52" s="92" t="s">
        <v>158</v>
      </c>
    </row>
    <row r="53" spans="1:87" s="23" customFormat="1" ht="121.5" customHeight="1" x14ac:dyDescent="0.25">
      <c r="A53" s="56"/>
      <c r="B53" s="56"/>
      <c r="C53" s="56"/>
      <c r="D53" s="51" t="s">
        <v>85</v>
      </c>
      <c r="E53" s="52">
        <v>1</v>
      </c>
      <c r="F53" s="52">
        <v>1</v>
      </c>
      <c r="G53" s="52">
        <v>1</v>
      </c>
      <c r="H53" s="52">
        <v>1</v>
      </c>
      <c r="I53" s="52">
        <v>1</v>
      </c>
      <c r="J53" s="52">
        <v>1</v>
      </c>
      <c r="K53" s="52">
        <v>1</v>
      </c>
      <c r="L53" s="52">
        <v>1</v>
      </c>
      <c r="M53" s="34">
        <f t="shared" si="7"/>
        <v>1</v>
      </c>
      <c r="N53" s="34">
        <f t="shared" si="8"/>
        <v>1</v>
      </c>
      <c r="O53" s="93"/>
    </row>
    <row r="54" spans="1:87" s="23" customFormat="1" ht="72" customHeight="1" x14ac:dyDescent="0.25">
      <c r="A54" s="56"/>
      <c r="B54" s="56"/>
      <c r="C54" s="56"/>
      <c r="D54" s="51" t="s">
        <v>86</v>
      </c>
      <c r="E54" s="52">
        <v>1</v>
      </c>
      <c r="F54" s="52">
        <v>0.9</v>
      </c>
      <c r="G54" s="52">
        <v>1</v>
      </c>
      <c r="H54" s="52">
        <v>1</v>
      </c>
      <c r="I54" s="52">
        <v>1</v>
      </c>
      <c r="J54" s="52">
        <v>1</v>
      </c>
      <c r="K54" s="52">
        <v>1</v>
      </c>
      <c r="L54" s="52">
        <v>1</v>
      </c>
      <c r="M54" s="34">
        <f t="shared" si="7"/>
        <v>1</v>
      </c>
      <c r="N54" s="34">
        <f t="shared" si="8"/>
        <v>1</v>
      </c>
      <c r="O54" s="93"/>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25"/>
      <c r="BS54" s="25"/>
      <c r="BT54" s="25"/>
      <c r="BU54" s="25"/>
      <c r="BV54" s="25"/>
      <c r="BW54" s="25"/>
      <c r="BX54" s="25"/>
      <c r="BY54" s="25"/>
      <c r="BZ54" s="25"/>
      <c r="CA54" s="25"/>
      <c r="CB54" s="25"/>
      <c r="CC54" s="25"/>
      <c r="CD54" s="25"/>
      <c r="CE54" s="25"/>
      <c r="CF54" s="25"/>
      <c r="CG54" s="25"/>
      <c r="CH54" s="25"/>
      <c r="CI54" s="25"/>
    </row>
    <row r="55" spans="1:87" s="23" customFormat="1" ht="66.75" customHeight="1" x14ac:dyDescent="0.25">
      <c r="A55" s="56"/>
      <c r="B55" s="56"/>
      <c r="C55" s="51" t="s">
        <v>106</v>
      </c>
      <c r="D55" s="51" t="s">
        <v>87</v>
      </c>
      <c r="E55" s="52">
        <v>1</v>
      </c>
      <c r="F55" s="52">
        <v>1</v>
      </c>
      <c r="G55" s="52">
        <v>1</v>
      </c>
      <c r="H55" s="52">
        <v>1</v>
      </c>
      <c r="I55" s="52">
        <v>1</v>
      </c>
      <c r="J55" s="52">
        <v>1</v>
      </c>
      <c r="K55" s="52">
        <v>1</v>
      </c>
      <c r="L55" s="52">
        <v>1</v>
      </c>
      <c r="M55" s="34">
        <f t="shared" si="7"/>
        <v>1</v>
      </c>
      <c r="N55" s="34">
        <f t="shared" si="8"/>
        <v>1</v>
      </c>
      <c r="O55" s="93"/>
      <c r="P55" s="25"/>
      <c r="Q55" s="25"/>
      <c r="R55" s="25"/>
      <c r="S55" s="25"/>
      <c r="T55" s="25"/>
      <c r="U55" s="25"/>
      <c r="V55" s="25"/>
      <c r="W55" s="25"/>
      <c r="X55" s="25"/>
      <c r="Y55" s="25"/>
      <c r="Z55" s="25"/>
      <c r="AA55" s="25"/>
      <c r="AB55" s="25"/>
      <c r="AC55" s="25"/>
      <c r="AD55" s="25"/>
      <c r="AE55" s="25"/>
      <c r="AF55" s="25"/>
      <c r="AG55" s="25"/>
      <c r="AH55" s="25"/>
      <c r="AI55" s="25"/>
      <c r="AJ55" s="25"/>
      <c r="AK55" s="25"/>
      <c r="AL55" s="25"/>
      <c r="AM55" s="25"/>
      <c r="AN55" s="25"/>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5"/>
      <c r="BM55" s="25"/>
      <c r="BN55" s="25"/>
      <c r="BO55" s="25"/>
      <c r="BP55" s="25"/>
      <c r="BQ55" s="25"/>
      <c r="BR55" s="25"/>
      <c r="BS55" s="25"/>
      <c r="BT55" s="25"/>
      <c r="BU55" s="25"/>
      <c r="BV55" s="25"/>
      <c r="BW55" s="25"/>
      <c r="BX55" s="25"/>
      <c r="BY55" s="25"/>
      <c r="BZ55" s="25"/>
      <c r="CA55" s="25"/>
      <c r="CB55" s="25"/>
      <c r="CC55" s="25"/>
      <c r="CD55" s="25"/>
      <c r="CE55" s="25"/>
      <c r="CF55" s="25"/>
      <c r="CG55" s="25"/>
      <c r="CH55" s="25"/>
      <c r="CI55" s="25"/>
    </row>
    <row r="56" spans="1:87" s="16" customFormat="1" ht="99.75" customHeight="1" x14ac:dyDescent="0.3">
      <c r="A56" s="56"/>
      <c r="B56" s="56"/>
      <c r="C56" s="51" t="s">
        <v>103</v>
      </c>
      <c r="D56" s="51" t="s">
        <v>88</v>
      </c>
      <c r="E56" s="52">
        <v>0.98</v>
      </c>
      <c r="F56" s="52">
        <v>0.99</v>
      </c>
      <c r="G56" s="52">
        <v>1</v>
      </c>
      <c r="H56" s="52">
        <v>0.99</v>
      </c>
      <c r="I56" s="52">
        <v>1</v>
      </c>
      <c r="J56" s="52">
        <v>1</v>
      </c>
      <c r="K56" s="52">
        <v>1</v>
      </c>
      <c r="L56" s="52">
        <v>1</v>
      </c>
      <c r="M56" s="34">
        <f t="shared" si="7"/>
        <v>1</v>
      </c>
      <c r="N56" s="34">
        <f t="shared" si="8"/>
        <v>1</v>
      </c>
      <c r="O56" s="9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row>
    <row r="57" spans="1:87" s="16" customFormat="1" ht="68.25" customHeight="1" x14ac:dyDescent="0.3">
      <c r="A57" s="56"/>
      <c r="B57" s="56" t="s">
        <v>89</v>
      </c>
      <c r="C57" s="56" t="s">
        <v>105</v>
      </c>
      <c r="D57" s="51" t="s">
        <v>90</v>
      </c>
      <c r="E57" s="51" t="s">
        <v>45</v>
      </c>
      <c r="F57" s="51" t="s">
        <v>45</v>
      </c>
      <c r="G57" s="51" t="s">
        <v>45</v>
      </c>
      <c r="H57" s="51" t="s">
        <v>45</v>
      </c>
      <c r="I57" s="51" t="s">
        <v>45</v>
      </c>
      <c r="J57" s="51" t="s">
        <v>45</v>
      </c>
      <c r="K57" s="52">
        <v>0.65</v>
      </c>
      <c r="L57" s="52">
        <v>0.64</v>
      </c>
      <c r="M57" s="34">
        <f t="shared" si="7"/>
        <v>0.64</v>
      </c>
      <c r="N57" s="34">
        <f t="shared" si="8"/>
        <v>0.98461538461538456</v>
      </c>
      <c r="O57" s="71" t="s">
        <v>159</v>
      </c>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4"/>
      <c r="BW57" s="24"/>
      <c r="BX57" s="24"/>
      <c r="BY57" s="24"/>
      <c r="BZ57" s="24"/>
      <c r="CA57" s="24"/>
      <c r="CB57" s="24"/>
      <c r="CC57" s="24"/>
      <c r="CD57" s="24"/>
      <c r="CE57" s="24"/>
      <c r="CF57" s="24"/>
      <c r="CG57" s="24"/>
      <c r="CH57" s="24"/>
      <c r="CI57" s="24"/>
    </row>
    <row r="58" spans="1:87" s="16" customFormat="1" ht="87" customHeight="1" x14ac:dyDescent="0.3">
      <c r="A58" s="56"/>
      <c r="B58" s="56"/>
      <c r="C58" s="56"/>
      <c r="D58" s="51" t="s">
        <v>110</v>
      </c>
      <c r="E58" s="52">
        <v>0.25</v>
      </c>
      <c r="F58" s="52">
        <v>0</v>
      </c>
      <c r="G58" s="52">
        <v>0.5</v>
      </c>
      <c r="H58" s="52">
        <v>0.34</v>
      </c>
      <c r="I58" s="52">
        <v>0.75</v>
      </c>
      <c r="J58" s="52">
        <v>0.43</v>
      </c>
      <c r="K58" s="52">
        <v>1</v>
      </c>
      <c r="L58" s="52">
        <v>0.93</v>
      </c>
      <c r="M58" s="34">
        <f>+L58</f>
        <v>0.93</v>
      </c>
      <c r="N58" s="34">
        <f t="shared" si="8"/>
        <v>0.93</v>
      </c>
      <c r="O58" s="71"/>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c r="BD58" s="24"/>
      <c r="BE58" s="24"/>
      <c r="BF58" s="24"/>
      <c r="BG58" s="24"/>
      <c r="BH58" s="24"/>
      <c r="BI58" s="24"/>
      <c r="BJ58" s="24"/>
      <c r="BK58" s="24"/>
      <c r="BL58" s="24"/>
      <c r="BM58" s="24"/>
      <c r="BN58" s="24"/>
      <c r="BO58" s="24"/>
      <c r="BP58" s="24"/>
      <c r="BQ58" s="24"/>
      <c r="BR58" s="24"/>
      <c r="BS58" s="24"/>
      <c r="BT58" s="24"/>
      <c r="BU58" s="24"/>
      <c r="BV58" s="24"/>
      <c r="BW58" s="24"/>
      <c r="BX58" s="24"/>
      <c r="BY58" s="24"/>
      <c r="BZ58" s="24"/>
      <c r="CA58" s="24"/>
      <c r="CB58" s="24"/>
      <c r="CC58" s="24"/>
      <c r="CD58" s="24"/>
      <c r="CE58" s="24"/>
      <c r="CF58" s="24"/>
      <c r="CG58" s="24"/>
      <c r="CH58" s="24"/>
      <c r="CI58" s="24"/>
    </row>
    <row r="59" spans="1:87" s="16" customFormat="1" ht="87" customHeight="1" x14ac:dyDescent="0.3">
      <c r="A59" s="56"/>
      <c r="B59" s="56"/>
      <c r="C59" s="56"/>
      <c r="D59" s="51" t="s">
        <v>111</v>
      </c>
      <c r="E59" s="51" t="s">
        <v>45</v>
      </c>
      <c r="F59" s="51" t="s">
        <v>45</v>
      </c>
      <c r="G59" s="52">
        <v>0.5</v>
      </c>
      <c r="H59" s="52">
        <v>0.53</v>
      </c>
      <c r="I59" s="52">
        <v>0.5</v>
      </c>
      <c r="J59" s="52">
        <v>0.55000000000000004</v>
      </c>
      <c r="K59" s="52">
        <v>1</v>
      </c>
      <c r="L59" s="52">
        <v>0.98</v>
      </c>
      <c r="M59" s="34">
        <f t="shared" ref="M59:M72" si="9">+L59</f>
        <v>0.98</v>
      </c>
      <c r="N59" s="34">
        <f t="shared" si="8"/>
        <v>0.98</v>
      </c>
      <c r="O59" s="71"/>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c r="BI59" s="24"/>
      <c r="BJ59" s="24"/>
      <c r="BK59" s="24"/>
      <c r="BL59" s="24"/>
      <c r="BM59" s="24"/>
      <c r="BN59" s="24"/>
      <c r="BO59" s="24"/>
      <c r="BP59" s="24"/>
      <c r="BQ59" s="24"/>
      <c r="BR59" s="24"/>
      <c r="BS59" s="24"/>
      <c r="BT59" s="24"/>
      <c r="BU59" s="24"/>
      <c r="BV59" s="24"/>
      <c r="BW59" s="24"/>
      <c r="BX59" s="24"/>
      <c r="BY59" s="24"/>
      <c r="BZ59" s="24"/>
      <c r="CA59" s="24"/>
      <c r="CB59" s="24"/>
      <c r="CC59" s="24"/>
      <c r="CD59" s="24"/>
      <c r="CE59" s="24"/>
      <c r="CF59" s="24"/>
      <c r="CG59" s="24"/>
      <c r="CH59" s="24"/>
      <c r="CI59" s="24"/>
    </row>
    <row r="60" spans="1:87" s="16" customFormat="1" ht="104.25" customHeight="1" x14ac:dyDescent="0.3">
      <c r="A60" s="56"/>
      <c r="B60" s="56"/>
      <c r="C60" s="56"/>
      <c r="D60" s="51" t="s">
        <v>78</v>
      </c>
      <c r="E60" s="52">
        <v>1</v>
      </c>
      <c r="F60" s="52">
        <v>1</v>
      </c>
      <c r="G60" s="52">
        <v>1</v>
      </c>
      <c r="H60" s="52">
        <v>1</v>
      </c>
      <c r="I60" s="52">
        <v>1</v>
      </c>
      <c r="J60" s="52">
        <v>1</v>
      </c>
      <c r="K60" s="52">
        <v>1</v>
      </c>
      <c r="L60" s="52">
        <v>1</v>
      </c>
      <c r="M60" s="34">
        <f t="shared" si="9"/>
        <v>1</v>
      </c>
      <c r="N60" s="34">
        <f>IF(M60/K60&gt;100%,100%,M60/K60)</f>
        <v>1</v>
      </c>
      <c r="O60" s="71"/>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c r="AX60" s="24"/>
      <c r="AY60" s="24"/>
      <c r="AZ60" s="24"/>
      <c r="BA60" s="24"/>
      <c r="BB60" s="24"/>
      <c r="BC60" s="24"/>
      <c r="BD60" s="24"/>
      <c r="BE60" s="24"/>
      <c r="BF60" s="24"/>
      <c r="BG60" s="24"/>
      <c r="BH60" s="24"/>
      <c r="BI60" s="24"/>
      <c r="BJ60" s="24"/>
      <c r="BK60" s="24"/>
      <c r="BL60" s="24"/>
      <c r="BM60" s="24"/>
      <c r="BN60" s="24"/>
      <c r="BO60" s="24"/>
      <c r="BP60" s="24"/>
      <c r="BQ60" s="24"/>
      <c r="BR60" s="24"/>
      <c r="BS60" s="24"/>
      <c r="BT60" s="24"/>
      <c r="BU60" s="24"/>
      <c r="BV60" s="24"/>
      <c r="BW60" s="24"/>
      <c r="BX60" s="24"/>
      <c r="BY60" s="24"/>
      <c r="BZ60" s="24"/>
      <c r="CA60" s="24"/>
      <c r="CB60" s="24"/>
      <c r="CC60" s="24"/>
      <c r="CD60" s="24"/>
      <c r="CE60" s="24"/>
      <c r="CF60" s="24"/>
      <c r="CG60" s="24"/>
      <c r="CH60" s="24"/>
      <c r="CI60" s="24"/>
    </row>
    <row r="61" spans="1:87" s="16" customFormat="1" ht="70.5" customHeight="1" x14ac:dyDescent="0.3">
      <c r="A61" s="56"/>
      <c r="B61" s="56"/>
      <c r="C61" s="56"/>
      <c r="D61" s="51" t="s">
        <v>75</v>
      </c>
      <c r="E61" s="52">
        <v>0.78</v>
      </c>
      <c r="F61" s="52">
        <v>0.78</v>
      </c>
      <c r="G61" s="52">
        <v>0.89</v>
      </c>
      <c r="H61" s="52">
        <v>0.89</v>
      </c>
      <c r="I61" s="52">
        <v>0.89</v>
      </c>
      <c r="J61" s="52">
        <v>0.89</v>
      </c>
      <c r="K61" s="52">
        <v>0.98</v>
      </c>
      <c r="L61" s="52">
        <v>1</v>
      </c>
      <c r="M61" s="34">
        <f t="shared" si="9"/>
        <v>1</v>
      </c>
      <c r="N61" s="34">
        <f t="shared" ref="N61:N72" si="10">IF(M61/K61&gt;100%,100%,M61/K61)</f>
        <v>1</v>
      </c>
      <c r="O61" s="71"/>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c r="BH61" s="24"/>
      <c r="BI61" s="24"/>
      <c r="BJ61" s="24"/>
      <c r="BK61" s="24"/>
      <c r="BL61" s="24"/>
      <c r="BM61" s="24"/>
      <c r="BN61" s="24"/>
      <c r="BO61" s="24"/>
      <c r="BP61" s="24"/>
      <c r="BQ61" s="24"/>
      <c r="BR61" s="24"/>
      <c r="BS61" s="24"/>
      <c r="BT61" s="24"/>
      <c r="BU61" s="24"/>
      <c r="BV61" s="24"/>
      <c r="BW61" s="24"/>
      <c r="BX61" s="24"/>
      <c r="BY61" s="24"/>
      <c r="BZ61" s="24"/>
      <c r="CA61" s="24"/>
      <c r="CB61" s="24"/>
      <c r="CC61" s="24"/>
      <c r="CD61" s="24"/>
      <c r="CE61" s="24"/>
      <c r="CF61" s="24"/>
      <c r="CG61" s="24"/>
      <c r="CH61" s="24"/>
      <c r="CI61" s="24"/>
    </row>
    <row r="62" spans="1:87" s="23" customFormat="1" ht="139.5" customHeight="1" x14ac:dyDescent="0.25">
      <c r="A62" s="56"/>
      <c r="B62" s="56" t="s">
        <v>91</v>
      </c>
      <c r="C62" s="56" t="s">
        <v>107</v>
      </c>
      <c r="D62" s="51" t="s">
        <v>92</v>
      </c>
      <c r="E62" s="52">
        <v>0.84</v>
      </c>
      <c r="F62" s="52">
        <v>0.84</v>
      </c>
      <c r="G62" s="52">
        <v>0.9</v>
      </c>
      <c r="H62" s="52">
        <v>0.9</v>
      </c>
      <c r="I62" s="52">
        <v>0.96</v>
      </c>
      <c r="J62" s="52">
        <v>0.94</v>
      </c>
      <c r="K62" s="52">
        <v>1</v>
      </c>
      <c r="L62" s="52">
        <v>1</v>
      </c>
      <c r="M62" s="34">
        <f>+L62</f>
        <v>1</v>
      </c>
      <c r="N62" s="34">
        <f t="shared" si="10"/>
        <v>1</v>
      </c>
      <c r="O62" s="71" t="s">
        <v>160</v>
      </c>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c r="BT62" s="25"/>
      <c r="BU62" s="25"/>
      <c r="BV62" s="25"/>
      <c r="BW62" s="25"/>
      <c r="BX62" s="25"/>
      <c r="BY62" s="25"/>
      <c r="BZ62" s="25"/>
      <c r="CA62" s="25"/>
      <c r="CB62" s="25"/>
      <c r="CC62" s="25"/>
      <c r="CD62" s="25"/>
      <c r="CE62" s="25"/>
      <c r="CF62" s="25"/>
      <c r="CG62" s="25"/>
      <c r="CH62" s="25"/>
      <c r="CI62" s="25"/>
    </row>
    <row r="63" spans="1:87" s="23" customFormat="1" ht="174" customHeight="1" x14ac:dyDescent="0.25">
      <c r="A63" s="56"/>
      <c r="B63" s="56"/>
      <c r="C63" s="56"/>
      <c r="D63" s="51" t="s">
        <v>74</v>
      </c>
      <c r="E63" s="52">
        <v>1</v>
      </c>
      <c r="F63" s="52">
        <v>1</v>
      </c>
      <c r="G63" s="52">
        <v>1</v>
      </c>
      <c r="H63" s="52">
        <v>1</v>
      </c>
      <c r="I63" s="52">
        <v>1</v>
      </c>
      <c r="J63" s="52">
        <v>1</v>
      </c>
      <c r="K63" s="52">
        <v>1</v>
      </c>
      <c r="L63" s="52">
        <v>1</v>
      </c>
      <c r="M63" s="34">
        <f t="shared" si="9"/>
        <v>1</v>
      </c>
      <c r="N63" s="34">
        <f t="shared" si="10"/>
        <v>1</v>
      </c>
      <c r="O63" s="71"/>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c r="BT63" s="25"/>
      <c r="BU63" s="25"/>
      <c r="BV63" s="25"/>
      <c r="BW63" s="25"/>
      <c r="BX63" s="25"/>
      <c r="BY63" s="25"/>
      <c r="BZ63" s="25"/>
      <c r="CA63" s="25"/>
      <c r="CB63" s="25"/>
      <c r="CC63" s="25"/>
      <c r="CD63" s="25"/>
      <c r="CE63" s="25"/>
      <c r="CF63" s="25"/>
      <c r="CG63" s="25"/>
      <c r="CH63" s="25"/>
      <c r="CI63" s="25"/>
    </row>
    <row r="64" spans="1:87" s="23" customFormat="1" ht="129" customHeight="1" x14ac:dyDescent="0.25">
      <c r="A64" s="56"/>
      <c r="B64" s="56" t="s">
        <v>93</v>
      </c>
      <c r="C64" s="56" t="s">
        <v>107</v>
      </c>
      <c r="D64" s="51" t="s">
        <v>74</v>
      </c>
      <c r="E64" s="52">
        <v>1</v>
      </c>
      <c r="F64" s="52">
        <v>1</v>
      </c>
      <c r="G64" s="52">
        <v>1</v>
      </c>
      <c r="H64" s="52">
        <v>1</v>
      </c>
      <c r="I64" s="52">
        <v>1</v>
      </c>
      <c r="J64" s="52">
        <v>1</v>
      </c>
      <c r="K64" s="52">
        <v>1</v>
      </c>
      <c r="L64" s="52">
        <v>1</v>
      </c>
      <c r="M64" s="34">
        <f t="shared" si="9"/>
        <v>1</v>
      </c>
      <c r="N64" s="34">
        <f t="shared" si="10"/>
        <v>1</v>
      </c>
      <c r="O64" s="71" t="s">
        <v>161</v>
      </c>
      <c r="P64" s="25"/>
      <c r="Q64" s="25"/>
      <c r="R64" s="25"/>
      <c r="S64" s="25"/>
      <c r="T64" s="25"/>
      <c r="U64" s="25"/>
      <c r="V64" s="25"/>
      <c r="W64" s="25"/>
      <c r="X64" s="25"/>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5"/>
      <c r="BB64" s="25"/>
      <c r="BC64" s="25"/>
      <c r="BD64" s="25"/>
      <c r="BE64" s="25"/>
      <c r="BF64" s="25"/>
      <c r="BG64" s="25"/>
      <c r="BH64" s="25"/>
      <c r="BI64" s="25"/>
      <c r="BJ64" s="25"/>
      <c r="BK64" s="25"/>
      <c r="BL64" s="25"/>
      <c r="BM64" s="25"/>
      <c r="BN64" s="25"/>
      <c r="BO64" s="25"/>
      <c r="BP64" s="25"/>
      <c r="BQ64" s="25"/>
      <c r="BR64" s="25"/>
      <c r="BS64" s="25"/>
      <c r="BT64" s="25"/>
      <c r="BU64" s="25"/>
      <c r="BV64" s="25"/>
      <c r="BW64" s="25"/>
      <c r="BX64" s="25"/>
      <c r="BY64" s="25"/>
      <c r="BZ64" s="25"/>
      <c r="CA64" s="25"/>
      <c r="CB64" s="25"/>
      <c r="CC64" s="25"/>
      <c r="CD64" s="25"/>
      <c r="CE64" s="25"/>
      <c r="CF64" s="25"/>
      <c r="CG64" s="25"/>
      <c r="CH64" s="25"/>
      <c r="CI64" s="25"/>
    </row>
    <row r="65" spans="1:87" s="23" customFormat="1" ht="207.75" customHeight="1" x14ac:dyDescent="0.25">
      <c r="A65" s="56"/>
      <c r="B65" s="56"/>
      <c r="C65" s="56"/>
      <c r="D65" s="51" t="s">
        <v>75</v>
      </c>
      <c r="E65" s="52">
        <v>1</v>
      </c>
      <c r="F65" s="52">
        <v>1</v>
      </c>
      <c r="G65" s="52">
        <v>1</v>
      </c>
      <c r="H65" s="52">
        <v>1</v>
      </c>
      <c r="I65" s="52">
        <v>1</v>
      </c>
      <c r="J65" s="52">
        <v>1</v>
      </c>
      <c r="K65" s="52">
        <v>1</v>
      </c>
      <c r="L65" s="52">
        <v>1</v>
      </c>
      <c r="M65" s="34">
        <f t="shared" si="9"/>
        <v>1</v>
      </c>
      <c r="N65" s="34">
        <f t="shared" si="10"/>
        <v>1</v>
      </c>
      <c r="O65" s="71"/>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c r="BG65" s="25"/>
      <c r="BH65" s="25"/>
      <c r="BI65" s="25"/>
      <c r="BJ65" s="25"/>
      <c r="BK65" s="25"/>
      <c r="BL65" s="25"/>
      <c r="BM65" s="25"/>
      <c r="BN65" s="25"/>
      <c r="BO65" s="25"/>
      <c r="BP65" s="25"/>
      <c r="BQ65" s="25"/>
      <c r="BR65" s="25"/>
      <c r="BS65" s="25"/>
      <c r="BT65" s="25"/>
      <c r="BU65" s="25"/>
      <c r="BV65" s="25"/>
      <c r="BW65" s="25"/>
      <c r="BX65" s="25"/>
      <c r="BY65" s="25"/>
      <c r="BZ65" s="25"/>
      <c r="CA65" s="25"/>
      <c r="CB65" s="25"/>
      <c r="CC65" s="25"/>
      <c r="CD65" s="25"/>
      <c r="CE65" s="25"/>
      <c r="CF65" s="25"/>
      <c r="CG65" s="25"/>
      <c r="CH65" s="25"/>
      <c r="CI65" s="25"/>
    </row>
    <row r="66" spans="1:87" s="23" customFormat="1" ht="118.5" customHeight="1" x14ac:dyDescent="0.25">
      <c r="A66" s="56"/>
      <c r="B66" s="51" t="s">
        <v>94</v>
      </c>
      <c r="C66" s="51" t="s">
        <v>107</v>
      </c>
      <c r="D66" s="51" t="s">
        <v>95</v>
      </c>
      <c r="E66" s="52">
        <v>0.25</v>
      </c>
      <c r="F66" s="52">
        <v>0.05</v>
      </c>
      <c r="G66" s="52">
        <v>0.45</v>
      </c>
      <c r="H66" s="52">
        <v>0.45</v>
      </c>
      <c r="I66" s="52">
        <v>0.8</v>
      </c>
      <c r="J66" s="52">
        <v>0.8</v>
      </c>
      <c r="K66" s="52">
        <v>1</v>
      </c>
      <c r="L66" s="52">
        <v>1</v>
      </c>
      <c r="M66" s="34">
        <f t="shared" si="9"/>
        <v>1</v>
      </c>
      <c r="N66" s="34">
        <f>IF(M66/K66&gt;100%,100%,M66/K66)</f>
        <v>1</v>
      </c>
      <c r="O66" s="41" t="s">
        <v>162</v>
      </c>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s="25"/>
      <c r="BC66" s="25"/>
      <c r="BD66" s="25"/>
      <c r="BE66" s="25"/>
      <c r="BF66" s="25"/>
      <c r="BG66" s="25"/>
      <c r="BH66" s="25"/>
      <c r="BI66" s="25"/>
      <c r="BJ66" s="25"/>
      <c r="BK66" s="25"/>
      <c r="BL66" s="25"/>
      <c r="BM66" s="25"/>
      <c r="BN66" s="25"/>
      <c r="BO66" s="25"/>
      <c r="BP66" s="25"/>
      <c r="BQ66" s="25"/>
      <c r="BR66" s="25"/>
      <c r="BS66" s="25"/>
      <c r="BT66" s="25"/>
      <c r="BU66" s="25"/>
      <c r="BV66" s="25"/>
      <c r="BW66" s="25"/>
      <c r="BX66" s="25"/>
      <c r="BY66" s="25"/>
      <c r="BZ66" s="25"/>
      <c r="CA66" s="25"/>
      <c r="CB66" s="25"/>
      <c r="CC66" s="25"/>
      <c r="CD66" s="25"/>
      <c r="CE66" s="25"/>
      <c r="CF66" s="25"/>
      <c r="CG66" s="25"/>
      <c r="CH66" s="25"/>
      <c r="CI66" s="25"/>
    </row>
    <row r="67" spans="1:87" s="23" customFormat="1" ht="172.5" customHeight="1" x14ac:dyDescent="0.25">
      <c r="A67" s="56"/>
      <c r="B67" s="56" t="s">
        <v>96</v>
      </c>
      <c r="C67" s="56" t="s">
        <v>108</v>
      </c>
      <c r="D67" s="51" t="s">
        <v>97</v>
      </c>
      <c r="E67" s="52">
        <v>0.85</v>
      </c>
      <c r="F67" s="52">
        <v>0.83</v>
      </c>
      <c r="G67" s="52">
        <v>1</v>
      </c>
      <c r="H67" s="52">
        <v>0.87</v>
      </c>
      <c r="I67" s="52">
        <v>1</v>
      </c>
      <c r="J67" s="52">
        <v>0.93</v>
      </c>
      <c r="K67" s="52">
        <v>1</v>
      </c>
      <c r="L67" s="52">
        <v>1</v>
      </c>
      <c r="M67" s="34">
        <f>+L67</f>
        <v>1</v>
      </c>
      <c r="N67" s="34">
        <f t="shared" si="10"/>
        <v>1</v>
      </c>
      <c r="O67" s="71" t="s">
        <v>163</v>
      </c>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c r="BH67" s="25"/>
      <c r="BI67" s="25"/>
      <c r="BJ67" s="25"/>
      <c r="BK67" s="25"/>
      <c r="BL67" s="25"/>
      <c r="BM67" s="25"/>
      <c r="BN67" s="25"/>
      <c r="BO67" s="25"/>
      <c r="BP67" s="25"/>
      <c r="BQ67" s="25"/>
      <c r="BR67" s="25"/>
      <c r="BS67" s="25"/>
      <c r="BT67" s="25"/>
      <c r="BU67" s="25"/>
      <c r="BV67" s="25"/>
      <c r="BW67" s="25"/>
      <c r="BX67" s="25"/>
      <c r="BY67" s="25"/>
      <c r="BZ67" s="25"/>
      <c r="CA67" s="25"/>
      <c r="CB67" s="25"/>
      <c r="CC67" s="25"/>
      <c r="CD67" s="25"/>
      <c r="CE67" s="25"/>
      <c r="CF67" s="25"/>
      <c r="CG67" s="25"/>
      <c r="CH67" s="25"/>
      <c r="CI67" s="25"/>
    </row>
    <row r="68" spans="1:87" s="23" customFormat="1" ht="133.5" customHeight="1" x14ac:dyDescent="0.25">
      <c r="A68" s="56"/>
      <c r="B68" s="56"/>
      <c r="C68" s="56"/>
      <c r="D68" s="51" t="s">
        <v>74</v>
      </c>
      <c r="E68" s="52">
        <v>1</v>
      </c>
      <c r="F68" s="52">
        <v>1</v>
      </c>
      <c r="G68" s="52">
        <v>1</v>
      </c>
      <c r="H68" s="52">
        <v>1</v>
      </c>
      <c r="I68" s="52">
        <v>1</v>
      </c>
      <c r="J68" s="52">
        <v>1</v>
      </c>
      <c r="K68" s="52">
        <v>1</v>
      </c>
      <c r="L68" s="52">
        <v>1</v>
      </c>
      <c r="M68" s="34">
        <f t="shared" si="9"/>
        <v>1</v>
      </c>
      <c r="N68" s="34">
        <f t="shared" si="10"/>
        <v>1</v>
      </c>
      <c r="O68" s="71"/>
      <c r="P68" s="25"/>
      <c r="Q68" s="25"/>
      <c r="R68" s="25"/>
      <c r="S68" s="25"/>
      <c r="T68" s="25"/>
      <c r="U68" s="25"/>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25"/>
      <c r="BD68" s="25"/>
      <c r="BE68" s="25"/>
      <c r="BF68" s="25"/>
      <c r="BG68" s="25"/>
      <c r="BH68" s="25"/>
      <c r="BI68" s="25"/>
      <c r="BJ68" s="25"/>
      <c r="BK68" s="25"/>
      <c r="BL68" s="25"/>
      <c r="BM68" s="25"/>
      <c r="BN68" s="25"/>
      <c r="BO68" s="25"/>
      <c r="BP68" s="25"/>
      <c r="BQ68" s="25"/>
      <c r="BR68" s="25"/>
      <c r="BS68" s="25"/>
      <c r="BT68" s="25"/>
      <c r="BU68" s="25"/>
      <c r="BV68" s="25"/>
      <c r="BW68" s="25"/>
      <c r="BX68" s="25"/>
      <c r="BY68" s="25"/>
      <c r="BZ68" s="25"/>
      <c r="CA68" s="25"/>
      <c r="CB68" s="25"/>
      <c r="CC68" s="25"/>
      <c r="CD68" s="25"/>
      <c r="CE68" s="25"/>
      <c r="CF68" s="25"/>
      <c r="CG68" s="25"/>
      <c r="CH68" s="25"/>
      <c r="CI68" s="25"/>
    </row>
    <row r="69" spans="1:87" s="23" customFormat="1" ht="129" customHeight="1" x14ac:dyDescent="0.25">
      <c r="A69" s="56"/>
      <c r="B69" s="56"/>
      <c r="C69" s="56"/>
      <c r="D69" s="51" t="s">
        <v>75</v>
      </c>
      <c r="E69" s="52">
        <v>0.84</v>
      </c>
      <c r="F69" s="52">
        <v>0.84</v>
      </c>
      <c r="G69" s="52">
        <v>0.9</v>
      </c>
      <c r="H69" s="52">
        <v>0.9</v>
      </c>
      <c r="I69" s="52">
        <v>0.96</v>
      </c>
      <c r="J69" s="52">
        <v>0.94</v>
      </c>
      <c r="K69" s="52">
        <v>1</v>
      </c>
      <c r="L69" s="52">
        <v>1</v>
      </c>
      <c r="M69" s="34">
        <f t="shared" si="9"/>
        <v>1</v>
      </c>
      <c r="N69" s="34">
        <f t="shared" si="10"/>
        <v>1</v>
      </c>
      <c r="O69" s="71"/>
      <c r="P69" s="25"/>
      <c r="Q69" s="25"/>
      <c r="R69" s="25"/>
      <c r="S69" s="25"/>
      <c r="T69" s="25"/>
      <c r="U69" s="25"/>
      <c r="V69" s="25"/>
      <c r="W69" s="25"/>
      <c r="X69" s="25"/>
      <c r="Y69" s="25"/>
      <c r="Z69" s="25"/>
      <c r="AA69" s="25"/>
      <c r="AB69" s="25"/>
      <c r="AC69" s="25"/>
      <c r="AD69" s="25"/>
      <c r="AE69" s="25"/>
      <c r="AF69" s="25"/>
      <c r="AG69" s="25"/>
      <c r="AH69" s="25"/>
      <c r="AI69" s="25"/>
      <c r="AJ69" s="25"/>
      <c r="AK69" s="25"/>
      <c r="AL69" s="25"/>
      <c r="AM69" s="25"/>
      <c r="AN69" s="25"/>
      <c r="AO69" s="25"/>
      <c r="AP69" s="25"/>
      <c r="AQ69" s="25"/>
      <c r="AR69" s="25"/>
      <c r="AS69" s="25"/>
      <c r="AT69" s="25"/>
      <c r="AU69" s="25"/>
      <c r="AV69" s="25"/>
      <c r="AW69" s="25"/>
      <c r="AX69" s="25"/>
      <c r="AY69" s="25"/>
      <c r="AZ69" s="25"/>
      <c r="BA69" s="25"/>
      <c r="BB69" s="25"/>
      <c r="BC69" s="25"/>
      <c r="BD69" s="25"/>
      <c r="BE69" s="25"/>
      <c r="BF69" s="25"/>
      <c r="BG69" s="25"/>
      <c r="BH69" s="25"/>
      <c r="BI69" s="25"/>
      <c r="BJ69" s="25"/>
      <c r="BK69" s="25"/>
      <c r="BL69" s="25"/>
      <c r="BM69" s="25"/>
      <c r="BN69" s="25"/>
      <c r="BO69" s="25"/>
      <c r="BP69" s="25"/>
      <c r="BQ69" s="25"/>
      <c r="BR69" s="25"/>
      <c r="BS69" s="25"/>
      <c r="BT69" s="25"/>
      <c r="BU69" s="25"/>
      <c r="BV69" s="25"/>
      <c r="BW69" s="25"/>
      <c r="BX69" s="25"/>
      <c r="BY69" s="25"/>
      <c r="BZ69" s="25"/>
      <c r="CA69" s="25"/>
      <c r="CB69" s="25"/>
      <c r="CC69" s="25"/>
      <c r="CD69" s="25"/>
      <c r="CE69" s="25"/>
      <c r="CF69" s="25"/>
      <c r="CG69" s="25"/>
      <c r="CH69" s="25"/>
      <c r="CI69" s="25"/>
    </row>
    <row r="70" spans="1:87" s="23" customFormat="1" ht="246.75" customHeight="1" x14ac:dyDescent="0.25">
      <c r="A70" s="56" t="s">
        <v>102</v>
      </c>
      <c r="B70" s="56" t="s">
        <v>98</v>
      </c>
      <c r="C70" s="56" t="s">
        <v>109</v>
      </c>
      <c r="D70" s="51" t="s">
        <v>99</v>
      </c>
      <c r="E70" s="35">
        <v>4000</v>
      </c>
      <c r="F70" s="35">
        <v>12870</v>
      </c>
      <c r="G70" s="35">
        <v>124000</v>
      </c>
      <c r="H70" s="35">
        <f>+F70+14842+64468</f>
        <v>92180</v>
      </c>
      <c r="I70" s="35">
        <v>129000</v>
      </c>
      <c r="J70" s="35">
        <f>H70+23828+21297</f>
        <v>137305</v>
      </c>
      <c r="K70" s="35">
        <v>250000</v>
      </c>
      <c r="L70" s="35">
        <f>+J70+114047+14604</f>
        <v>265956</v>
      </c>
      <c r="M70" s="35">
        <f t="shared" si="9"/>
        <v>265956</v>
      </c>
      <c r="N70" s="34">
        <f>IF(M70/K70&gt;100%,100%,M70/K70)</f>
        <v>1</v>
      </c>
      <c r="O70" s="95" t="s">
        <v>166</v>
      </c>
      <c r="P70" s="25"/>
      <c r="Q70" s="25"/>
      <c r="R70" s="25"/>
      <c r="S70" s="25"/>
      <c r="T70" s="25"/>
      <c r="U70" s="25"/>
      <c r="V70" s="25"/>
      <c r="W70" s="25"/>
      <c r="X70" s="25"/>
      <c r="Y70" s="25"/>
      <c r="Z70" s="25"/>
      <c r="AA70" s="25"/>
      <c r="AB70" s="25"/>
      <c r="AC70" s="25"/>
      <c r="AD70" s="25"/>
      <c r="AE70" s="25"/>
      <c r="AF70" s="25"/>
      <c r="AG70" s="25"/>
      <c r="AH70" s="25"/>
      <c r="AI70" s="25"/>
      <c r="AJ70" s="25"/>
      <c r="AK70" s="25"/>
      <c r="AL70" s="25"/>
      <c r="AM70" s="25"/>
      <c r="AN70" s="25"/>
      <c r="AO70" s="25"/>
      <c r="AP70" s="25"/>
      <c r="AQ70" s="25"/>
      <c r="AR70" s="25"/>
      <c r="AS70" s="25"/>
      <c r="AT70" s="25"/>
      <c r="AU70" s="25"/>
      <c r="AV70" s="25"/>
      <c r="AW70" s="25"/>
      <c r="AX70" s="25"/>
      <c r="AY70" s="25"/>
      <c r="AZ70" s="25"/>
      <c r="BA70" s="25"/>
      <c r="BB70" s="25"/>
      <c r="BC70" s="25"/>
      <c r="BD70" s="25"/>
      <c r="BE70" s="25"/>
      <c r="BF70" s="25"/>
      <c r="BG70" s="25"/>
      <c r="BH70" s="25"/>
      <c r="BI70" s="25"/>
      <c r="BJ70" s="25"/>
      <c r="BK70" s="25"/>
      <c r="BL70" s="25"/>
      <c r="BM70" s="25"/>
      <c r="BN70" s="25"/>
      <c r="BO70" s="25"/>
      <c r="BP70" s="25"/>
      <c r="BQ70" s="25"/>
      <c r="BR70" s="25"/>
      <c r="BS70" s="25"/>
      <c r="BT70" s="25"/>
      <c r="BU70" s="25"/>
      <c r="BV70" s="25"/>
      <c r="BW70" s="25"/>
      <c r="BX70" s="25"/>
      <c r="BY70" s="25"/>
      <c r="BZ70" s="25"/>
      <c r="CA70" s="25"/>
      <c r="CB70" s="25"/>
      <c r="CC70" s="25"/>
      <c r="CD70" s="25"/>
      <c r="CE70" s="25"/>
      <c r="CF70" s="25"/>
      <c r="CG70" s="25"/>
      <c r="CH70" s="25"/>
      <c r="CI70" s="25"/>
    </row>
    <row r="71" spans="1:87" s="23" customFormat="1" ht="168" customHeight="1" x14ac:dyDescent="0.25">
      <c r="A71" s="56"/>
      <c r="B71" s="56"/>
      <c r="C71" s="56"/>
      <c r="D71" s="51" t="s">
        <v>100</v>
      </c>
      <c r="E71" s="51">
        <v>5</v>
      </c>
      <c r="F71" s="51">
        <v>3</v>
      </c>
      <c r="G71" s="51">
        <v>8</v>
      </c>
      <c r="H71" s="51">
        <v>5</v>
      </c>
      <c r="I71" s="51">
        <v>9</v>
      </c>
      <c r="J71" s="51">
        <v>9</v>
      </c>
      <c r="K71" s="51">
        <v>9</v>
      </c>
      <c r="L71" s="51">
        <f>+J71</f>
        <v>9</v>
      </c>
      <c r="M71" s="34">
        <f t="shared" si="9"/>
        <v>9</v>
      </c>
      <c r="N71" s="34">
        <f t="shared" si="10"/>
        <v>1</v>
      </c>
      <c r="O71" s="71"/>
      <c r="P71" s="25"/>
      <c r="Q71" s="25"/>
      <c r="R71" s="25"/>
      <c r="S71" s="25"/>
      <c r="T71" s="25"/>
      <c r="U71" s="25"/>
      <c r="V71" s="25"/>
      <c r="W71" s="25"/>
      <c r="X71" s="25"/>
      <c r="Y71" s="25"/>
      <c r="Z71" s="25"/>
      <c r="AA71" s="25"/>
      <c r="AB71" s="25"/>
      <c r="AC71" s="25"/>
      <c r="AD71" s="25"/>
      <c r="AE71" s="25"/>
      <c r="AF71" s="25"/>
      <c r="AG71" s="25"/>
      <c r="AH71" s="25"/>
      <c r="AI71" s="25"/>
      <c r="AJ71" s="25"/>
      <c r="AK71" s="25"/>
      <c r="AL71" s="25"/>
      <c r="AM71" s="25"/>
      <c r="AN71" s="25"/>
      <c r="AO71" s="25"/>
      <c r="AP71" s="25"/>
      <c r="AQ71" s="25"/>
      <c r="AR71" s="25"/>
      <c r="AS71" s="25"/>
      <c r="AT71" s="25"/>
      <c r="AU71" s="25"/>
      <c r="AV71" s="25"/>
      <c r="AW71" s="25"/>
      <c r="AX71" s="25"/>
      <c r="AY71" s="25"/>
      <c r="AZ71" s="25"/>
      <c r="BA71" s="25"/>
      <c r="BB71" s="25"/>
      <c r="BC71" s="25"/>
      <c r="BD71" s="25"/>
      <c r="BE71" s="25"/>
      <c r="BF71" s="25"/>
      <c r="BG71" s="25"/>
      <c r="BH71" s="25"/>
      <c r="BI71" s="25"/>
      <c r="BJ71" s="25"/>
      <c r="BK71" s="25"/>
      <c r="BL71" s="25"/>
      <c r="BM71" s="25"/>
      <c r="BN71" s="25"/>
      <c r="BO71" s="25"/>
      <c r="BP71" s="25"/>
      <c r="BQ71" s="25"/>
      <c r="BR71" s="25"/>
      <c r="BS71" s="25"/>
      <c r="BT71" s="25"/>
      <c r="BU71" s="25"/>
      <c r="BV71" s="25"/>
      <c r="BW71" s="25"/>
      <c r="BX71" s="25"/>
      <c r="BY71" s="25"/>
      <c r="BZ71" s="25"/>
      <c r="CA71" s="25"/>
      <c r="CB71" s="25"/>
      <c r="CC71" s="25"/>
      <c r="CD71" s="25"/>
      <c r="CE71" s="25"/>
      <c r="CF71" s="25"/>
      <c r="CG71" s="25"/>
      <c r="CH71" s="25"/>
      <c r="CI71" s="25"/>
    </row>
    <row r="72" spans="1:87" s="23" customFormat="1" ht="285.75" customHeight="1" x14ac:dyDescent="0.25">
      <c r="A72" s="56"/>
      <c r="B72" s="56"/>
      <c r="C72" s="56"/>
      <c r="D72" s="51" t="s">
        <v>116</v>
      </c>
      <c r="E72" s="51" t="s">
        <v>45</v>
      </c>
      <c r="F72" s="51" t="s">
        <v>45</v>
      </c>
      <c r="G72" s="51" t="s">
        <v>45</v>
      </c>
      <c r="H72" s="51" t="s">
        <v>45</v>
      </c>
      <c r="I72" s="51">
        <v>25</v>
      </c>
      <c r="J72" s="51">
        <v>12</v>
      </c>
      <c r="K72" s="51">
        <v>25</v>
      </c>
      <c r="L72" s="51">
        <f>+J72+12</f>
        <v>24</v>
      </c>
      <c r="M72" s="51">
        <f t="shared" si="9"/>
        <v>24</v>
      </c>
      <c r="N72" s="34">
        <f t="shared" si="10"/>
        <v>0.96</v>
      </c>
      <c r="O72" s="71"/>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c r="AZ72" s="25"/>
      <c r="BA72" s="25"/>
      <c r="BB72" s="25"/>
      <c r="BC72" s="25"/>
      <c r="BD72" s="25"/>
      <c r="BE72" s="25"/>
      <c r="BF72" s="25"/>
      <c r="BG72" s="25"/>
      <c r="BH72" s="25"/>
      <c r="BI72" s="25"/>
      <c r="BJ72" s="25"/>
      <c r="BK72" s="25"/>
      <c r="BL72" s="25"/>
      <c r="BM72" s="25"/>
      <c r="BN72" s="25"/>
      <c r="BO72" s="25"/>
      <c r="BP72" s="25"/>
      <c r="BQ72" s="25"/>
      <c r="BR72" s="25"/>
      <c r="BS72" s="25"/>
      <c r="BT72" s="25"/>
      <c r="BU72" s="25"/>
      <c r="BV72" s="25"/>
      <c r="BW72" s="25"/>
      <c r="BX72" s="25"/>
      <c r="BY72" s="25"/>
      <c r="BZ72" s="25"/>
      <c r="CA72" s="25"/>
      <c r="CB72" s="25"/>
      <c r="CC72" s="25"/>
      <c r="CD72" s="25"/>
      <c r="CE72" s="25"/>
      <c r="CF72" s="25"/>
      <c r="CG72" s="25"/>
      <c r="CH72" s="25"/>
      <c r="CI72" s="25"/>
    </row>
    <row r="73" spans="1:87" s="26" customFormat="1" x14ac:dyDescent="0.3">
      <c r="A73" s="43"/>
      <c r="B73" s="44"/>
      <c r="C73" s="44"/>
      <c r="D73" s="45"/>
      <c r="E73" s="44"/>
      <c r="F73" s="44"/>
      <c r="G73" s="44"/>
      <c r="H73" s="44"/>
      <c r="I73" s="44"/>
      <c r="J73" s="44"/>
      <c r="K73" s="44"/>
      <c r="L73" s="44"/>
      <c r="M73" s="44"/>
      <c r="N73" s="44"/>
      <c r="O73" s="71"/>
    </row>
    <row r="74" spans="1:87" ht="15" customHeight="1" x14ac:dyDescent="0.3">
      <c r="A74" s="97" t="s">
        <v>8</v>
      </c>
      <c r="B74" s="97"/>
      <c r="C74" s="97"/>
      <c r="D74" s="97"/>
      <c r="E74" s="97"/>
      <c r="F74" s="97"/>
      <c r="G74" s="97"/>
      <c r="H74" s="97"/>
      <c r="I74" s="97"/>
      <c r="J74" s="97"/>
      <c r="K74" s="97"/>
      <c r="L74" s="97"/>
      <c r="M74" s="97"/>
      <c r="N74" s="97"/>
      <c r="O74" s="97"/>
    </row>
    <row r="75" spans="1:87" ht="15" customHeight="1" x14ac:dyDescent="0.3">
      <c r="A75" s="97" t="s">
        <v>9</v>
      </c>
      <c r="B75" s="97"/>
      <c r="C75" s="97"/>
      <c r="D75" s="97"/>
      <c r="E75" s="97"/>
      <c r="F75" s="97"/>
      <c r="G75" s="97"/>
      <c r="H75" s="97"/>
      <c r="I75" s="97"/>
      <c r="J75" s="97"/>
      <c r="K75" s="97"/>
      <c r="L75" s="97"/>
      <c r="M75" s="97"/>
      <c r="N75" s="97"/>
      <c r="O75" s="97"/>
    </row>
    <row r="76" spans="1:87" x14ac:dyDescent="0.3">
      <c r="A76" s="91" t="s">
        <v>37</v>
      </c>
      <c r="B76" s="91"/>
      <c r="C76" s="91"/>
      <c r="D76" s="91"/>
      <c r="E76" s="91"/>
      <c r="F76" s="91"/>
      <c r="G76" s="91"/>
      <c r="H76" s="91"/>
      <c r="I76" s="91"/>
      <c r="J76" s="91"/>
      <c r="K76" s="91"/>
      <c r="L76" s="91"/>
      <c r="M76" s="91"/>
      <c r="N76" s="91"/>
      <c r="O76" s="91"/>
    </row>
    <row r="77" spans="1:87" s="27" customFormat="1" x14ac:dyDescent="0.3">
      <c r="A77" s="87" t="s">
        <v>38</v>
      </c>
      <c r="B77" s="87"/>
      <c r="C77" s="87"/>
      <c r="D77" s="87"/>
      <c r="E77" s="87"/>
      <c r="F77" s="87"/>
      <c r="G77" s="87"/>
      <c r="H77" s="87"/>
      <c r="I77" s="87"/>
      <c r="J77" s="87"/>
      <c r="K77" s="87"/>
      <c r="L77" s="87"/>
      <c r="M77" s="87"/>
      <c r="N77" s="87"/>
      <c r="O77" s="87"/>
    </row>
  </sheetData>
  <mergeCells count="80">
    <mergeCell ref="O70:O73"/>
    <mergeCell ref="P24:P25"/>
    <mergeCell ref="O62:O63"/>
    <mergeCell ref="O64:O65"/>
    <mergeCell ref="O67:O69"/>
    <mergeCell ref="O57:O61"/>
    <mergeCell ref="A77:O77"/>
    <mergeCell ref="B4:O4"/>
    <mergeCell ref="A5:O5"/>
    <mergeCell ref="E9:L9"/>
    <mergeCell ref="A76:O76"/>
    <mergeCell ref="A75:O75"/>
    <mergeCell ref="B52:B56"/>
    <mergeCell ref="A74:O74"/>
    <mergeCell ref="B27:B28"/>
    <mergeCell ref="B14:B15"/>
    <mergeCell ref="C14:C15"/>
    <mergeCell ref="A11:A16"/>
    <mergeCell ref="A18:A25"/>
    <mergeCell ref="O52:O56"/>
    <mergeCell ref="C50:C51"/>
    <mergeCell ref="C21:C23"/>
    <mergeCell ref="B21:B23"/>
    <mergeCell ref="O21:O23"/>
    <mergeCell ref="O32:O33"/>
    <mergeCell ref="O50:O51"/>
    <mergeCell ref="O27:O28"/>
    <mergeCell ref="C32:C33"/>
    <mergeCell ref="A70:A72"/>
    <mergeCell ref="C52:C54"/>
    <mergeCell ref="C64:C65"/>
    <mergeCell ref="C67:C69"/>
    <mergeCell ref="C70:C72"/>
    <mergeCell ref="B57:B61"/>
    <mergeCell ref="B62:B63"/>
    <mergeCell ref="C57:C61"/>
    <mergeCell ref="C62:C63"/>
    <mergeCell ref="B67:B69"/>
    <mergeCell ref="B64:B65"/>
    <mergeCell ref="B70:B72"/>
    <mergeCell ref="A32:A36"/>
    <mergeCell ref="A37:A39"/>
    <mergeCell ref="A40:A42"/>
    <mergeCell ref="B43:B45"/>
    <mergeCell ref="A26:A31"/>
    <mergeCell ref="B32:B33"/>
    <mergeCell ref="B38:B39"/>
    <mergeCell ref="A43:A69"/>
    <mergeCell ref="B46:B49"/>
    <mergeCell ref="B50:B51"/>
    <mergeCell ref="A1:B3"/>
    <mergeCell ref="D9:D10"/>
    <mergeCell ref="C9:C10"/>
    <mergeCell ref="B9:B10"/>
    <mergeCell ref="A9:A10"/>
    <mergeCell ref="A7:O7"/>
    <mergeCell ref="N16:N17"/>
    <mergeCell ref="O9:O10"/>
    <mergeCell ref="C43:C45"/>
    <mergeCell ref="C46:C49"/>
    <mergeCell ref="C1:N3"/>
    <mergeCell ref="M9:M10"/>
    <mergeCell ref="N9:N10"/>
    <mergeCell ref="O38:O39"/>
    <mergeCell ref="O43:O45"/>
    <mergeCell ref="O14:O15"/>
    <mergeCell ref="O46:O49"/>
    <mergeCell ref="O16:O17"/>
    <mergeCell ref="G16:G17"/>
    <mergeCell ref="H16:H17"/>
    <mergeCell ref="I16:I17"/>
    <mergeCell ref="J16:J17"/>
    <mergeCell ref="K16:K17"/>
    <mergeCell ref="L16:L17"/>
    <mergeCell ref="M16:M17"/>
    <mergeCell ref="B16:B17"/>
    <mergeCell ref="C16:C17"/>
    <mergeCell ref="D16:D17"/>
    <mergeCell ref="E16:E17"/>
    <mergeCell ref="F16:F17"/>
  </mergeCells>
  <printOptions horizontalCentered="1" verticalCentered="1"/>
  <pageMargins left="0.70866141732283472" right="0.70866141732283472" top="0.74803149606299213" bottom="0.74803149606299213" header="0.31496062992125984" footer="0.31496062992125984"/>
  <pageSetup scale="29" fitToHeight="0" orientation="landscape" r:id="rId1"/>
  <rowBreaks count="6" manualBreakCount="6">
    <brk id="13" max="12" man="1"/>
    <brk id="23" max="12" man="1"/>
    <brk id="25" max="14" man="1"/>
    <brk id="29" max="12" man="1"/>
    <brk id="42" max="14" man="1"/>
    <brk id="49" max="14" man="1"/>
  </rowBreaks>
  <colBreaks count="1" manualBreakCount="1">
    <brk id="1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Portada</vt:lpstr>
      <vt:lpstr>Seguimiento PAI 4to trimestre</vt:lpstr>
      <vt:lpstr>'Seguimiento PAI 4to trimestre'!Área_de_impresión</vt:lpstr>
      <vt:lpstr>'Seguimiento PAI 4to trimestre'!Títulos_a_imprimir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Adriana Isabel Prieto Alzate</dc:creator>
  <cp:lastModifiedBy>Diana Paola Yate Virgues</cp:lastModifiedBy>
  <cp:lastPrinted>2018-07-30T21:15:56Z</cp:lastPrinted>
  <dcterms:created xsi:type="dcterms:W3CDTF">2017-01-27T18:29:11Z</dcterms:created>
  <dcterms:modified xsi:type="dcterms:W3CDTF">2019-03-05T20:54:27Z</dcterms:modified>
</cp:coreProperties>
</file>