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O:\Planeacion\2. PLANEACIÓN INSTITUCIONAL\03- Registros Planeación Institucional 2015-2018\02 PAI 2015-2018\2016\01 PAI 2016\"/>
    </mc:Choice>
  </mc:AlternateContent>
  <bookViews>
    <workbookView xWindow="0" yWindow="0" windowWidth="20490" windowHeight="7755"/>
  </bookViews>
  <sheets>
    <sheet name="Portada" sheetId="2" r:id="rId1"/>
    <sheet name="Seguim PAI" sheetId="1"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F9" i="1"/>
  <c r="L9" i="1"/>
  <c r="L65" i="1" l="1"/>
  <c r="F25" i="1" l="1"/>
  <c r="L26" i="1" l="1"/>
  <c r="K26" i="1"/>
  <c r="L40" i="1" l="1"/>
  <c r="L53" i="1" l="1"/>
  <c r="D16" i="1" l="1"/>
  <c r="E16" i="1" s="1"/>
  <c r="D21" i="1"/>
  <c r="E21" i="1" s="1"/>
  <c r="F21" i="1" s="1"/>
  <c r="L75" i="1" l="1"/>
  <c r="L74" i="1"/>
  <c r="G74" i="1"/>
  <c r="L73" i="1"/>
  <c r="L72" i="1"/>
  <c r="L64" i="1"/>
  <c r="L52" i="1"/>
  <c r="L51" i="1"/>
  <c r="L49" i="1"/>
  <c r="L48" i="1"/>
  <c r="L47" i="1"/>
  <c r="G47" i="1"/>
  <c r="L46" i="1"/>
  <c r="L45" i="1"/>
  <c r="K44" i="1"/>
  <c r="L44" i="1" s="1"/>
  <c r="K43" i="1"/>
  <c r="F43" i="1"/>
  <c r="G43" i="1" s="1"/>
  <c r="L42" i="1"/>
  <c r="L41" i="1"/>
  <c r="F40" i="1"/>
  <c r="L38" i="1"/>
  <c r="G40" i="1" s="1"/>
  <c r="L37" i="1"/>
  <c r="G37" i="1" s="1"/>
  <c r="F37" i="1"/>
  <c r="L36" i="1"/>
  <c r="F36" i="1"/>
  <c r="G36" i="1" s="1"/>
  <c r="L35" i="1"/>
  <c r="L33" i="1"/>
  <c r="L31" i="1"/>
  <c r="F31" i="1"/>
  <c r="G31" i="1" s="1"/>
  <c r="L30" i="1"/>
  <c r="L29" i="1"/>
  <c r="F29" i="1"/>
  <c r="G29" i="1" s="1"/>
  <c r="L28" i="1"/>
  <c r="F28" i="1"/>
  <c r="G28" i="1" s="1"/>
  <c r="L27" i="1"/>
  <c r="K25" i="1"/>
  <c r="E25" i="1"/>
  <c r="K24" i="1"/>
  <c r="L24" i="1" s="1"/>
  <c r="L23" i="1"/>
  <c r="L22" i="1"/>
  <c r="F22" i="1"/>
  <c r="G22" i="1" s="1"/>
  <c r="L21" i="1"/>
  <c r="G21" i="1"/>
  <c r="L20" i="1"/>
  <c r="F20" i="1"/>
  <c r="G20" i="1" s="1"/>
  <c r="L19" i="1"/>
  <c r="L18" i="1"/>
  <c r="L17" i="1"/>
  <c r="L16" i="1"/>
  <c r="F16" i="1"/>
  <c r="G16" i="1" s="1"/>
  <c r="L15" i="1"/>
  <c r="F15" i="1"/>
  <c r="G15" i="1" s="1"/>
  <c r="L13" i="1"/>
  <c r="L12" i="1"/>
  <c r="F12" i="1"/>
  <c r="G12" i="1" s="1"/>
  <c r="E9" i="1"/>
  <c r="G25" i="1" l="1"/>
  <c r="L25" i="1"/>
</calcChain>
</file>

<file path=xl/sharedStrings.xml><?xml version="1.0" encoding="utf-8"?>
<sst xmlns="http://schemas.openxmlformats.org/spreadsheetml/2006/main" count="263" uniqueCount="211">
  <si>
    <t xml:space="preserve">MATRIZ DE SEGUIMIENTO AL PLAN DE ACCIÓN INSTITUCIONAL </t>
  </si>
  <si>
    <r>
      <rPr>
        <b/>
        <sz val="14"/>
        <color theme="1"/>
        <rFont val="Arial"/>
        <family val="2"/>
      </rPr>
      <t>CÓDIGO:</t>
    </r>
    <r>
      <rPr>
        <sz val="14"/>
        <color theme="1"/>
        <rFont val="Arial"/>
        <family val="2"/>
      </rPr>
      <t xml:space="preserve"> G101PR01F06</t>
    </r>
  </si>
  <si>
    <r>
      <rPr>
        <b/>
        <sz val="11"/>
        <rFont val="Arial"/>
        <family val="2"/>
      </rPr>
      <t xml:space="preserve">VERSIÓN: </t>
    </r>
    <r>
      <rPr>
        <sz val="11"/>
        <rFont val="Arial"/>
        <family val="2"/>
      </rPr>
      <t>07</t>
    </r>
  </si>
  <si>
    <r>
      <rPr>
        <b/>
        <sz val="11"/>
        <color theme="1"/>
        <rFont val="Arial"/>
        <family val="2"/>
      </rPr>
      <t>FECHA:</t>
    </r>
    <r>
      <rPr>
        <sz val="11"/>
        <color theme="1"/>
        <rFont val="Arial"/>
        <family val="2"/>
      </rPr>
      <t xml:space="preserve"> 2016-07-11</t>
    </r>
  </si>
  <si>
    <t>Plan de Acción Institucional 2016</t>
  </si>
  <si>
    <t>Objetivo estratégico</t>
  </si>
  <si>
    <t xml:space="preserve">Meta estratégica año 2016 </t>
  </si>
  <si>
    <t>Resultados meta estratégica año 2016*</t>
  </si>
  <si>
    <t>% de cumplimiento de meta estratégica</t>
  </si>
  <si>
    <t>Programa estratégico</t>
  </si>
  <si>
    <t>Área responsable</t>
  </si>
  <si>
    <t>Meta del programa</t>
  </si>
  <si>
    <t>Avance de meta del programa**</t>
  </si>
  <si>
    <t>%  de cumplimiento de meta del programa</t>
  </si>
  <si>
    <t>Resumen de la gestión del cuarto trimestre</t>
  </si>
  <si>
    <t>I</t>
  </si>
  <si>
    <t>II</t>
  </si>
  <si>
    <t>III</t>
  </si>
  <si>
    <t>IV</t>
  </si>
  <si>
    <t>Mejorar la calidad y el impacto de la investigación y la transferencia de conocimiento y tecnología</t>
  </si>
  <si>
    <t>2.500 Becas para la formación de maestría y doctorado nacional y exterior financiados por Colciencias y otras entidades</t>
  </si>
  <si>
    <t>Formación de capital humano para la CTeI a nivel de Doctorado y Maestría</t>
  </si>
  <si>
    <t>Dirección de Fomento a la Investigación</t>
  </si>
  <si>
    <t>2.309 becas para la formación de maestría y doctorado nacional y exterior financiados por Colciencias y otras entidades</t>
  </si>
  <si>
    <t>Articulación de oferta y demanda para recurso humano de alto nivel</t>
  </si>
  <si>
    <t>20% de beneficiarios de becas Colciencias con perfil público en la plataforma</t>
  </si>
  <si>
    <t>7.700 artículos científicos publicados en revistas científicas especializadas por investigadores colombianos</t>
  </si>
  <si>
    <t>Incremento de la visibilidad e impacto de las publicaciones científicas colombianas</t>
  </si>
  <si>
    <t>79 Revistas colombianas indexadas</t>
  </si>
  <si>
    <t>Consolidación de modelos cienciométricos para los actores del SNCTI</t>
  </si>
  <si>
    <t>El dato acumulado a diciembre 31 de 2016 es de 4.736 artículos científicos publicados en revistas científicas especializadas por investigadores colombianos. Se evidencia un subregistro de información debido al inicio del análisis y evaluación del modelo de reconocimiento y clasificación de grupos e investigadores colombianos por lo cual la convocatoria se planeo para el año 2017.
Uno de los modelos presentados al Sistema es el reportado en el programa Incremento de la visibilidad e impacto de las publicaciones científicas colombianas. Se avanza en la formulación del modelo de reconocimiento de actores del Sistema Nacional de Ciencia, Tecnología e Innovación (SNCTeI) que tiene como objetivo promover la excelencia de los principales actores que lo integran, orientando su comportamiento y propiciando un ambiente favorable para su especialización y el ordenamiento del propio SNCTeI.
Se diseñó la metodología para generación de reporte de información por parte de los programas nacionales de ciencia, tecnología e innovación (PNCTeI), con la que se buscó realizar un rastreo de la producción científica generada por investigadores colombianos. Resultado de esta revisión, se registra un verificación de producción de 259 artículos científicos publicados en el año 2016, 4 del PNCTeI de biotecnología, 47 artículos del PNCTeI de ciencias de la salud, 11 artículos del PNCTeI de ciencias del Mar y de los Recursos Hidrobiológicos, 34 artículos del PNCTeI de ciencias agropecuarias, 42 artículos del PNCTeI de ciencias básicas, 7 artículos del PNCTeI de ambiente, Biodiversidad y Hábitat, 29 artículos del PNCTeI de ciencias sociales y humanas, 10 artículos del PNCTeI de TIC y 75 artículos del PNCTeI de energías y minería.
Se redactó un documento inicial de propuesta para la creación de una Unidad de Cienciometría en Colciencias, mediante la cual se pueda identificar y medir la actividad científica nacional para fortalecer la toma de decisiones estratégicas para el sector.</t>
  </si>
  <si>
    <t>1 Modelo cienciométrico presentado al SNCTI</t>
  </si>
  <si>
    <t>221 proyectos de investigación apoyados</t>
  </si>
  <si>
    <t>Fomento al desarrollo de programas y proyectos de generación de conocimiento en CTeI</t>
  </si>
  <si>
    <t>195 proyectos de investigación apoyados</t>
  </si>
  <si>
    <t>Se registra el apoyo a 203 proyectos de investigación a través de los diferentes instrumentos de fomento a actividades de ciencia, tecnología e innovación de Colciencias.
Mediante la convocatoria 744 de 2016 se apoyaron 51 proyectos de investigación en ciencias de la salud que buscan generar estrategias y promover acciones dirigidas a mitigar el riesgo de ocurrencia y reducción de la carga de la enfermedad. A través de la convocatoria 745 de 2016, se apoyaron 132 proyectos para fomentar la generación de conocimiento afrontando los retos de país, que deriven en productos con potencial de transferencia de resultados a diferentes grupos de interés. 
Por medio de la alianza con los departamentos de Atlántico, Bolívar, La Guajira y Magdalena, se apoyan 9 proyectos de investigación que buscan contribuir con la generación de nuevo conocimiento y fortalecer las capacidades en ciencia, tecnología e innovación en ciencias del mar de dichas regiones. A través de la convocatoria 740 de 2015, se logró apoyar 10 proyectos de investigación para la generación de conocimiento en ciencias humanas, sociales y educación en las temáticas del desarrollo humano y la calidad de vida de los colombianos para construir la paz; Humanidades, comunicación y cultura; Estudios de Ciencias Sociales y sus formas de conocimiento. Como resultado de la alianza con el Ministerio de Educación Nacional, mediante invitación directa se apoyó 1 proyecto de investigación en factores que afectan la calidad de la educación superior desde la sostenibilidad financiera.
Adicionalmente, desde el programa Colombia BIO se observa el aporte de 16 proyectos de investigación apoyados, 2 en la convocatoria 763 de 2016 y 14 mediante la convocatoria portafolio 100. Finalmente, mediante la segunda convocatoria Transnacional EraNet-LAC 742 de 2015, que busca promover la investigación, el desarrollo tecnológico y la innovación en el país, así como apoyar y fomentar la cooperación entre los países de la Unión Europea (UE), América Latina y el Caribe (CELAC) se apoyaron 4 proyectos. 
Se registra el apoyo a 60 becas para la formación de alto nivel mediante los proyectos de investigación apoyados en la convocatoria 745 de 2016 retos de país.</t>
  </si>
  <si>
    <t>Promover el desarrollo tecnológico y la innovación como motor de crecimiento empresarial y del emprendimiento</t>
  </si>
  <si>
    <t>1.910 empresas
apoyadas en
procesos de
innovación por
Colciencias</t>
  </si>
  <si>
    <t>Alianzas para la innovación</t>
  </si>
  <si>
    <t>Dirección de Desarrollo Tecnológico e Innovación</t>
  </si>
  <si>
    <t>1.250 empresas
apoyadas en
procesos de
innovación por
Colciencias</t>
  </si>
  <si>
    <t>Sistemas de innovación en empresas</t>
  </si>
  <si>
    <t>463 empresas
apoyadas en
procesos de
innovación por
Colciencias</t>
  </si>
  <si>
    <t>Fortalecimiento y Reconocimiento de Actores del SNCTeI</t>
  </si>
  <si>
    <t>12 empresas
apoyadas en
procesos de
innovación por
Colciencias</t>
  </si>
  <si>
    <t>Programa TIC</t>
  </si>
  <si>
    <t>243 empresas
apoyadas en
procesos de
innovación por
Colciencias</t>
  </si>
  <si>
    <t>7 licenciamientos
tecnológicos
apoyados</t>
  </si>
  <si>
    <t>N/A</t>
  </si>
  <si>
    <t>Desarrollo de capacidades de transferencia tecnológica</t>
  </si>
  <si>
    <t>A través del apoyo y los esfuerzos realizados por a las Oficinas de Transferencia de Resultados de Investigación (OTRI) se apoyaron 4 licenciamientos tecnológicos, correspondientes a los sectores Financiero, Farmacéutico, Salud y Alimentos. Adicionalmente, se registra la revisión de 30 tecnologías revisadas que incluye los diversos estudios, estrategias de protección y comercialización de propiedad intelectual que diseñan las oficinas para el análisis de las tecnologías y su puesta a punto para el mercado. Estas prácticas han sido compartidas en la Red de OTRIs para su estandarización. 
Se suscribieron 5 convenios con las Oficinas de Transferencia en las regiones del Atlántico, Santander, Antioquia, Valle y Cundinamarca, con un financiamiento individual de $400 millones, para dar continuidad al programa.
Los días 4 y 5 de agosto de 2016 se realizó la Rueda de Innovación y Negocios 2016 organizada por Tecnnova y apoyada por Colciencias, caracterizada por realizar conexiones previas en donde se visitaron 112 demandantes, se levantaron 176 retos o necesidades que pudieran ser solucionadas con la producción de conocimiento del país, se postularon 427 alternativas de solución de las cuales 269 pertenecen a grupos de investigación, 144 a empresas, 10 a Centros de Desarrollo Tecnológico  y 4 a Universidades.  Se establecieron 18 acuerdos de trabajo, con un monto preliminar estimado de $1.200 millones de pesos.
En la implementación del proyecto para la constitución de la Hoja de Ruta se registra la selección de tres proyectos, los cuales están siendo apoyados de cara a su constitución como Spin-Off, en la  Universidad Católica de Manizales, con el proyecto "Telemetría, control y alertas tempranas a través de un sistemas para la medición del consumo de agua de usuarios residenciales.", la Universidad Tecnológica de Pereira, con el proyecto "MovyTic" y la Universidad CES, con el proyecto "Unidad de Toxicidad in-vitro". Con la implementación de la hoja de ruta se busca fortalecer las capacidades de las Instituciones de Educación Superior colombianas para la implementación efectiva del mecanismo de transferencia tecnológica denominado Spin-off; a través del alistamiento (pre-factibilidad), la constitución y puesta en marcha de empresas de base tecnológica tipo Spin-off universitarias, complementando los lineamientos, recursos y resultados que previamente habían sido obtenidos por la comunidad de entidades vinculadas en la primera fase del proyecto Hoja de Ruta Spin-off Colombia.</t>
  </si>
  <si>
    <t>360 registros de
patentes solicitadas
por residentes en
oficina nacional y
PCT</t>
  </si>
  <si>
    <t>Brigada de patentes y fondo de protección de patentes</t>
  </si>
  <si>
    <t>Generar una cultura que valore y gestione el conocimiento y la innovación</t>
  </si>
  <si>
    <t>1.053.900
personas
sensibilizadas a
través de
estrategias
enfocadas en el
uso, apropiación y
utilidad de la CTeI</t>
  </si>
  <si>
    <t>Centros de Ciencia</t>
  </si>
  <si>
    <t>Dirección de Mentalidad y Cultura para la CTeI</t>
  </si>
  <si>
    <t>38.900
personas
sensibilizadas a
través de
estrategias
enfocadas en el
uso, apropiación y
utilidad de la CTeI</t>
  </si>
  <si>
    <t>Se construyó el documento Modelo de buenas prácticas de Sostenibilidad en Centros de Ciencia y se entrega la herramienta Scopio para observar y priorizar buenas prácticas de sostenibilidad en Centros de Ciencia. Adicionalmente, se publicó el dentro del documento definitivo de Política de Reconocimiento de Actores, el modelo de reconocimiento de Centros de Ciencia en Colombia.
Se realizaron 5 encuentros regionales de Centros de Ciencia en las ciudades de Cali, Bogotá, Barranquilla, Manizales y Leticia, los cuales contaron con 132 asistentes. Adicionalmente, se realizó el encuentro Nacional de Centros de Ciencia en la ciudad de Medellín los días 4 y 5 de octubre de 2016, al cual asistieron 86 personas. Mediante estos encuentros se persigue el fortalecimiento de la Red de Centros en Colombia.
Se realizó gestión y acompañamiento territorial para 9 proyectos de Centros de Ciencia en los departamentos de Valle del Cauca, Huila, Atlántico, Caldas, Meta, Sucre, Santander y el Distrito Capital. De igual forma, se implementó la guía para formulación de Proyectos de Centros de Ciencia, que permitió que los equipos formuladores presentaran los documentos técnicos con mayor solidez. 
Se registra un total de 48.137 personas sensibilizadas a través de proyectos especiales, mediante el desarrollo de experiencias museológicas para procesos de apropiación social en ciencia, tecnología e innovación. El cumplimiento adicional de personas sensibilizadas, se asocia a la adición de recursos al contrato con el centro interactivo Maloka, resultado del aporte del SENA a 6 itinerancias regionales adicionales, que registraron un número de visitantes mayor al esperado.</t>
  </si>
  <si>
    <t>15.000
personas
sensibilizadas a
través de
estrategias
enfocadas en el
uso, apropiación y
utilidad de la CTeI</t>
  </si>
  <si>
    <t>A través de la implementación del instrumento A Ciencia Cierta - producción agropecuaria, se registra un total de 10.078 personas sensibilizadas en CTeI, 1.673 que participaron en los encuentros locales y 8.405 que se han vinculado o han sido impactadas por las comunidades ganadoras que están implementando los fortalecimientos de sus experiencias ganadoras.
La convocatoria Ideas para el Cambio BIO logró mediante su implementación la sensibilización de 7.422 personas en temas de ciencia, tecnología e innovación a través de la financiación de 13 soluciones de ciencia y tecnología para comunidades colombianas. Se observa un comportamiento de mayor impacto de la convocatoria en las personas sensibilizadas frente a lo esperado historicamente en este tipo de instrumentos, asociado a la temática Bio respecto a temáticas anteriores. Adicionalmente, se dio cobertura nacional al instrumento, lo que se hizo que se pudiera llegar a un espectro mas amplio de comunidades.
En el diseño del proyecto de Agenda Ciudadana, fue necesario establecer dinámicas de trabajo con equipos de otros países, como México y España. Se avanzó con la conceptualización del proyecto y su metodología, la cual fue socializada con Ministros de CTeI de Iberoamérica. Adicionalmente se generó la plataforma virtual con por lo menos dos temáticas con retos, acompañada de una estrategia de divulgación.
Respecto al Centro de Documentación y Biblioteca de Colciencias - CENDOC, se avanzó en la definición del plan de actividades, y se realizó el diagnóstico actual y se encuentra en desarrollo el redimensionamiento, que se espera finalice en 2017.</t>
  </si>
  <si>
    <t>Difusión</t>
  </si>
  <si>
    <t>1.000.000
personas
sensibilizadas a
través de
estrategias
enfocadas en el
uso, apropiación y
utilidad de la CTeI</t>
  </si>
  <si>
    <t>600.000 niños y
jóvenes apoyados
en procesos de
vocación científica
y tecnológica</t>
  </si>
  <si>
    <t>Ondas</t>
  </si>
  <si>
    <t>597.600 niños y jóvenes apoyados en procesos de vocación científica y tecnológica</t>
  </si>
  <si>
    <t>Jóvenes Investigadores</t>
  </si>
  <si>
    <t>1.900 niños y jóvenes apoyados en procesos de vocación científica y tecnológica</t>
  </si>
  <si>
    <t>Nexo Global</t>
  </si>
  <si>
    <t>500 niños y
jóvenes apoyados
en procesos de
vocación científica
y tecnológica</t>
  </si>
  <si>
    <t>Desarrollar un sistema e institucionalidad habilitante para la CTeI</t>
  </si>
  <si>
    <t>80% de asignación del cupo de inversión para deducción tributaria</t>
  </si>
  <si>
    <t>Beneficios Tributarios para CTeI</t>
  </si>
  <si>
    <t>80% de asignación del cupo de inversión
para deducción tributaria</t>
  </si>
  <si>
    <t>A 31 de diciembre de 2016, se asignó el 100% del cupo disponible de la siguiente forma: Se aprobaron 367 proyectos de 13 departamentos. La mayor cantidad de cupo aprobado por departamentos fue: con el 38% de cupo total aprobado está Bogotá (107 proyectos), le sigue Santander y Antioquia cada uno con el 18% del total del cupo aprobado (35 y 134 proyectos respectivamente). Con el 13% del total el cupo aprobado esta Valle del Cauca (38 proyectos). Los restantes nueve departamentos agrupan el 12% del total del cupo asignado con un total de 53 proyectos.
Se realizaron un total de 36 Jornadas de sensibilización en diferentes ciudades del territorio nacional con la que se busca que los diferentes actores del Sistema Nacional de ciencia, tecnología e innovación y en especial los empresarios puedan conocer en mayor detalle los diferentes beneficios tributarios que ofrece el gobierno nacional para actividades de CTeI e incrementar sus capacidades para así acceder de una forma más efectiva a este tipo de incentivos.
Se formaron 91 empresas en formulación de proyectos de CTeI en seis ciudades, a saber Bogotá, Medellín, Barranquilla, Manizales, Bucaramanga y Cali.</t>
  </si>
  <si>
    <t>3 Ciudades con pacto por la innovación en ejecución</t>
  </si>
  <si>
    <t>Pacto por la innovación</t>
  </si>
  <si>
    <t>90 empresas apoyadas en procesos de
innovación por Colciencias</t>
  </si>
  <si>
    <t>3 Ciudades con pacto por la innovación en
ejecución</t>
  </si>
  <si>
    <t>3 Políticas CTeI aprobadas</t>
  </si>
  <si>
    <t>Diseño y evaluación de políticas de CTeI</t>
  </si>
  <si>
    <t>Subdirección General</t>
  </si>
  <si>
    <t>En el segundo semestre de 2016 fueron publicados y adoptados por resolución dos nuevos documentos de Política de CTeI. El primero de ellos es la Política para aumentar el impacto de las publicaciones científicas nacionales (Resolución 790 de 2016), en el marco de la cual se actualiza el Publindex, modelo de clasificación de revistas científicas nacionales que estaba vigente hacía más de 20 años. El segundo documento aprobado fue la Politica de Actores del SNCTeI (resolución 1473 de 2016), en el marco de la cual se amplían y actualizan los procesos de reconocimiento de actores del SNCTeI, entre otros. La política nacional de CTeI se entiende como aprobada a nivel institucional toda vez que la entidad respalda el contenido del documento y se consideran cumplidas las responsabilidades y gestiones que le caben a la misma en el proceso de su formulación. Adicionalmente, se trabajó en la formulación de la poítica de ciencia abierta, cuya versión final será entregada el 2017. 
La Sesión ordinaria 109 del Comité de Política Científica y Tecnológica (CSTP) de la OCDE se realizó el 25 y 26 de octubre de 2016 en la ciudad de París, donde se presentaron a los miembros del comité los avances de los diferentes proyectos que actualmente adelantan los diferentes grupos de trabajo del CSTP. La reunión estuvo precedida por un taller sobre digitalización de la CTI el día 24 de octubre. Tanto en la sesión del Comité como el en taller participó el Subdirector General en representación de Colciencias.
Se avanzó en el desarrollo de cuatro estudios y/o evaluaciones, a saber: i) Evaluación del Programa Ondas que entregó los resultados de la evaluación, ii) Estudio para realizar medidas relativas sobre la producción científica y de desarrollo tecnológico reportada por los grupos de investigación del país, para este estudio se tiene un plan de trabajo una la propuesta metodólogica para realizar el análisis relativo de producción científica y de desarrollo tecnológico reportado por los grupos de investigación, iii) Estudio para identificar la demanda potencial de las universidades por doctores graduados para el cual se finalizó el proceso de contratación, y iv) se contrató con el Observatorio de ciencia y tecnología OCYT un estudio sobre percepciones, intereses y capacidades de los investigadores para la ciencia abierta, el cual finaliza en la vigencia 2017.</t>
  </si>
  <si>
    <t>Desarrollo de capacidades para diseño y evaluación de políticas en los actores del Sistema Nacional</t>
  </si>
  <si>
    <t xml:space="preserve">4 acciones de fortalecimiento de capacidades desarrolladas </t>
  </si>
  <si>
    <t>Se realizó en el mes de abril un curso sobre Política CTeI, derivado del convenio existente entre la Unidad de Diseño y Evaluación de Política (UDEP) CTeI y la Universidad de Sussex en Inglaterra con el Science Policy Research Unit (SPRU). El curso se realizó en el transcurso de la semana del 18 al 22 de abril y los contenidos temáticos eran sobre la política CTeI. Al curso asistieron actores del SNCTeI, como representantes del DNP, MinCIT, MEN, MinAgro, MinTIC, RutaN, Tecnova, Connect Bogotá, además de las personas de Colciencias. Las personas que asistieron y participaron en la totalidad del curso recibieron un certificado por parte de la Universidad de Sussex.
El 26 de mayo fue llevado a cabo el evento "El Estado de la Ciencia en Colombia", en el centro de convenciones del Hotel "AR". El evento fue organizado por Foros Semana y contó con la participación de más de 250 personas. El tema del evento fue el uso de métricas e indicadores para la evaluación y medición de la actividad científica. Además de presentar resultados de la convocatoria 737 de 2015 y un balance de las experiencias de evaluación en la entidad los últimos 20 años, se presentó una nueva política para mejorar el impacto de las publicaciones científicas seriadas de autores colombianos.
El segundo curso de capacitación se realizó bajo la metodología de mentoria, consistente en una orientación por parte de profesores de SPRU a proyectos específicos. La selección de los proyectos fue realizada por la Unidad de Política a partir de las propuestas que enviaron los participantes en el curso que sobre Diseño y Evaluación de Políticas, se realizó durante el primer semestre. En total se seleccionaron 4 proyectos
Durante el segundo semestre se desarrolló una acción de fortalecimiento de capacidades mediante la realización de 6 conversatorios sobre un tema particular de la política de CTeI, en cada caso se invitó un experto externo en el tema correspondiente, con quien los asistentes podían entablar un diálogo sobre aspectos de interés. Los conversatorios desarrollados fueron: i) Bioprospección en Colombia, ii) El estado emprendedor y la política pública de CTeI, iii) Modelos de generación de conocimiento e innovación en tres sectores productivos, iv) Oportunidades de cooperación I+D Nanotecnología y Biotecnología, v) Hacia una política de Ciencia Abierta y vii) Prospectiva y política pública para el cambio estructural en América Latina y el Caribe: Desafios al 2030.</t>
  </si>
  <si>
    <t>Doctrina CTeI</t>
  </si>
  <si>
    <t>Secretaría General</t>
  </si>
  <si>
    <t>50% de consultas atendidas por Colciencias como autoridad doctrinaria en la mitad del tiempo de Ley</t>
  </si>
  <si>
    <t>Durante el último trimestre, se recibieron 12 solicitudes de conceptos en total, de los cuales 7 se tramitaron dentro de la mitad del tiempo establecido para tal fin y a 5 se les dio respuesta fuera del tiempo, es decir, se cumple con el 58% de los requerimientos conforme la meta establecida. 
En cuanto a la gestión de la automatización de los requerimiento mediante una herramienta, la Entidad definió declinar esta iniciativa dado que no era viable ni financieramente (recursos económicos limitados que no se ajustaban al presupuesto requerido por la firmas desarrolladoras), ni en lo relacionado con la infraestructura tecnológica con la que actualmente cuenta la Entidad.
Como mecanismo para reducir y generar claridad frente a los actores internos y externos de la Entidad, se realizó un banco de preguntas frecuentes como referente previo a elevar consultas a Colciencias, que se puede consultar en la página web de la Entidad. Como estrategia para la actualización del documento se diseñó una matriz para que los funcionarios alimentaran periódicamente con preguntas y su respectiva respuesta, conforme a las consultas o inquietudes que se van presentando en el desarrollo de actividades diarias. Cada seis meses se analizaron las preguntas y respuestas más relevantes, las cuales fueron incorporadas y publicación el en instrumento banco de preguntas. Se han trabajado diferentes estrategias de difusión mediante comunicación interna para asegurar la apropiación de los contenidos en los funcionarios.</t>
  </si>
  <si>
    <t>Producción Normativa</t>
  </si>
  <si>
    <t>100% de propuestas normativas presentadas a partir de las necesidades identificadas</t>
  </si>
  <si>
    <t>Durante el segundo semestre de 2016, se pusieron a consideración 4 proyectos de decreto en temas relacionados con las competencias de Colciencias o con temas relativos a la institucionalidad y los actores del SNCTeI, las cuales correspondieron a: i) Reglamentación del artículo 19 de la Ley 1286 de 2009 en materia de CODECTI, ii) Reglamentación del artículo 10 de la Ley 1753 de 2015 en materia de cesión de derechos de propiedad intelectual en proyectos de investigación y desarrollo y en proyectos TIC que hayan sido financiados con cargo a recursos públicos, iii) Reglamentación del artículo 7 de la Ley 1753 de 2015, en materia de planes y acuerdos estratégicos (Nación/Territorio) en materia de CTeI - PAED y iv) Reglamentación de la Ley 1374 de 2010, en materia de mecanismos de postulación e integración de ternas para selección de miembros del Consejo Nacional de Bioética.
Como otra fase de la estrategia, también se produjo la intervención desde Colciencias en debates de proyectos de normas generales (proyectos de ley, actos legislativos, proyectos leyes) que han sido promovidos por otros actores estatales. Se produjeron un total de 10 intervenciones en temas de interés, pertinencia o relacionados con las competencias del Departamento Administrativo, del sector CTeI o de los actores del SNCTeI. Finalmente, se produjeron 2 Intervenciones ante las altas cortes de justicia, en defensa de normas de interés o de la pertinencia de Colciencias (incluye defensa de fallos judiciales favorables a la entidad, emanados de las altas cortes). Resultado de todo lo anterior se registran un total de 16 intervenciones.
Frente al tema de cumplimiento de los requisitos de transparencia desde el programa, se registran una avance del 100% reflejado en las siguientes acciones: i) Fortalecimiento de la Política de Comportamiento Ético, ii) Se incorporaron los numerales 2.10 y 2.11 clausula 2 en los contratos de Regalías para salvaguardar la información confidencial, iii) En cuanto a la Inclusión de una ficha técnica del objeto a contratar se aclara que todo proceso de contratación debe definir el objeto a contratar conforme a la complejidad de la adquisición o compra según sus especificaciones y la identificación del contrato a celebrar y está definido desde el Plan de Adquisiciones y vi) en cuanto a procesos y procedimientos se actualizó y optimizó el procedimiento de Supervisión y seguimiento a contratos y convenios el cual integra en un solo documento lineamiento para el ejercicio de supervisión en modalidades más representativas y se actualizó el formato de Declaración de inexistencia de conflictos de intereses.</t>
  </si>
  <si>
    <t>84% de cumplimiento de los requisitos de transparencia en Colciencias</t>
  </si>
  <si>
    <t>53% de los
recursos
ejecutados a través
del FFJC por
entidades
aportantes
diferentes a
Colciencias</t>
  </si>
  <si>
    <t>No aplica</t>
  </si>
  <si>
    <t>Todas las dependencias</t>
  </si>
  <si>
    <t>Desarrollar proyectos estratégicos y de impacto en CTeI a través de la articulación de recursos de la nación, los departamentos y otros actores</t>
  </si>
  <si>
    <t xml:space="preserve">13 planes y acuerdos suscritos
</t>
  </si>
  <si>
    <t>Articulación entre el Gobierno Nacional, los departamentos y otros actores para la construcción, suscripción y sostenibilidad de los Planes y Acuerdos Estratégicos departamentales en CTeI</t>
  </si>
  <si>
    <t>Equipo de Gestión Territorial</t>
  </si>
  <si>
    <t>13 planes y acuerdos suscritos</t>
  </si>
  <si>
    <t xml:space="preserve">
Al mes de diciembre se logra realizar la construcción de 10 Planes y Acuerdos Estratégicos en Ciencia, Tecnología e Innovación – PAED, para los departamentos de Valle del Cauca, Cundinamarca, Sucre, Antioquia, Nariño, Meta, Chocó, Risaralda, Arauca y el distrito capital Bogotá D.C, cumpliendo en un 77% la meta propuesta para el año 2017. Se realizaron gestiones pertinentes desde Colciencias con otros departamentos para lograr suscribir los acuerdos, sin embargo se presentaron dificultades en el relacionamiento con los entes territoriales.
Por otra parte, se logra realizar la actualización/ratificación de 12 Planes y Acuerdos Estratégicos en Ciencia, Tecnología e Innovación – PAED, para los departamentos de Guainía, Putumayo, Magdalena, Amazonas, Guaviare, Huila, Bolívar, Córdoba, Tolima, Santander, Norte de Santander y Boyacá, cumpliendo en un 40% la meta propuesta para el año 2017. Desde Colciencias se tomaron las acciones necesarias para la ratificación - actualización, sin embargo no se observó el interés frente al tema en algunos entes terriotriales.
Todo lo anterior responde a una estrategia de sensibilización, socialización y acompañamiento, que integra a Gestión Territorial y a la Dirección de Colciencias, con los entes territoriales para avanzar en la suscripción de PAEDs.
Adicionalmente, por solicitud del OCAD del FCTeI, se está adelantado un proyecto de Decreto entre Presidencia de la República, DNP y Colciencias, que reglamente los PAEDs, con lo cual se agilizaría y daría mayor credibilidad en el proceso de suscripción y actualización, dado que los gobernadores han expresado dudas y especulaciones al respecto.
</t>
  </si>
  <si>
    <t>20 planes y acuerdos ratificados</t>
  </si>
  <si>
    <t xml:space="preserve">Capacidades para la formulación y estructuración de proyectos en CTeI </t>
  </si>
  <si>
    <t>10 proyectos formulados y estructurados</t>
  </si>
  <si>
    <t>Se realizó invitación para inscribirse en la REDCTEI, en la cual se observó un interés elevado en inscripciones, alcanzando un total de 1.599 personas naturales y 125 personas jurídicas inscritas. Se pudo observar que más del 60% de los estructuradores inscritos forma parte de un grupo de investigación.
Se dio apertura a un curso de formación virtual en la plataforma web de la RECTEI, que inició el 21 de noviembre, con más de 1.000 inscritos entre personas naturales y jurídicas, algunos estructuradores de proyectos. A la fecha, 439 participantes han terminado el módulo 1, 912 participantes han finalizado el módulo 2 y 20 participantes han terminado el tercer módulo.
En el marco del Acuerdo No.700  con el Fondo Newton se suscribió un contrato derivado con BNC con el propósito de elaborar 5 proyectos referentes (unidades de transferencia de tecnología e investigación, centros de investigación, centros de innovación, centros de ciencia y colecciones biológicas; los cuales se tendrán 31 de diciembre de 2016.
Se suscribió convenio interadministrativo entre COLCIENCIAS, Departamento Nacional de Planeación DNP, FINDETER y RUTA N el 22 de diciembre de 2016 mediante el cual se espera fortalecer las capacidades en los procesos de formulación y estructuración de proyectos de ciencia, tecnología e innovación del Sistema General de Regalías en las entidades territoriales.</t>
  </si>
  <si>
    <t>20 planes y acuerdos ratificados - actualizados</t>
  </si>
  <si>
    <t>Fortalecer la viabilización y aprobación de proyectos formulados para ser financiados por el FCTeI</t>
  </si>
  <si>
    <t>90% de recursos aprobados por el FCTI
SGR</t>
  </si>
  <si>
    <t>Como estrategia para aumentar la aprobación de recursos del FCTeI, se realizaron jornadas de asistencia técnica para el cumplimiento de requisitos establecidos por la Comisión Rectora para poder presentar los proyectos ante el OCAD del FCTeI. Por otro lado, en las jornadas previas a la construcción o actualización de los PAED, se brindó asesoría a las entidades territoriales y a los equipos de formulación para el cumplimiento de requisitos.
Como estrategia para fortalecer la viabilización y aprobación de proyectos, se abrió la posibilidad de realizar verificaciones preliminares (sin cargue en el Banco de Programas y Proyectos - SUIFP) para dar la posibilidad de contar con una revisión previa y poder corregir posibles errores. De igual forma, se adelantaron jornadas de asistencia directa de seguimiento a las entidades territoriales de proyectos que contaban con un nivel de formulación avanzada, para agilizar el cumplimiento de requisitos y una vez cumplía, se agilizó el procedimiento de evaluación para poder llevar al OCAD los proyectos que obtuvieron el puntaje mínimo requerido.
Se presenta el balance al presupuesto de inversión de la Secretaría Técnica del OCAD del FCTeI, discriminado por Departamento, en el cual se evidencia un porcentaje de ejecución del 59%, porcentaje correspondiente a la línea base sin variación alguna durante el mes de mayo, debido a que en este mes ésta Secretaría no contó con proyectos que cumplieran requisitos para ser presentados ante el OCAD del FCTeI. Se realizaron mesas de trabajo para revisar aspectos de 2 proyectos con el departamento de Putumayo, 15 con Antioquía, 2 con Santander y 18 con Cundinamarca.</t>
  </si>
  <si>
    <t xml:space="preserve">Fortalecimiento de la contratación de los recursos del FCTeI </t>
  </si>
  <si>
    <t>100% de las capacitaciones en
contratación realizadas</t>
  </si>
  <si>
    <t>La concertación y publicación de la guía de contratación en Actividades de Ciencia, Tecnología e Innovación ACTIs no se alcanzó a lograr en la vigencia pese a las gestiones realizadas por la Secretaría Técnica del Órgano Colegiado de Administración y Decisión del Fondo de Ciencia, Tecnología e Innovación del Sistema General de Regalías. El 12 de diciembre de 2016 Colombia Compra Eficiente publica el borrador del Manual para entender la Compra Pública para la Innovación y las Recomendaciones para la estructuración de un proceso de Compra Pública para la Innovación, concediendo un plazo para remitir observaciones hasta el 16 de diciembre de 2016. Se está a la espera de la respuesta de Colombia compra Eficiente sobre la publicación de los documentos definitivos.
La Secretaría Técnica del FCTeI, en el mes de mayo del año 2016, dio inicio a la Estrategia de Capacitación en Contratación en actividades de ciencia, tecnología e innovación, invitando a los 32 departamentos y al Distrito Capital a participar en dichas jornadas; se priorizaron las visitas para capacitación de acuerdo con los siguientes criterios: a) Entidades Territoriales con mayor cantidad de recursos comprometidos en proyectos de inversión en CTeI, b) Entidades Territoriales con mayor número de proyectos sin contratar, c) Entidades Territoriales con mayor número de proyectos aprobados, contratados pero sin acta de inicio y d) Entidades Territoriales con mayor número de proyectos en estado crítico según reporte generado por el Departamento Nacional de Planeación. Priorizados los Entes Territoriales se procedió a concertar las fechas para la realización de las capacitaciones. 
En el mes de octubre de 2016 se realizaron tres capacitaciones, así: Amazonas, Arauca y Quindío, con el fin de completar a corte 30 de diciembre de 2016 un total de once (11) capacitaciones en Contratación en Actividades de Ciencia, Tecnología e Innovación y Seguimiento a Proyectos de Inversión financiados con recursos del FCTeI - SGR, durante el cuarto trimestre de 2016. Se informa que durante los meses de noviembre y diciembre de 2016 no se realizaron capacitaciones teniendo en cuenta que la Secretaría Técnica del OCAD del Fondo de Ciencia, Tecnología e Innovación planeó una estrategia de movilización de proyectos con el fin de que fuesen verificados y sometidos a evaluación de panel de expertos para ser presentados para viabilización, priorización y aprobación ante el OCAD, situación que impidió continuar con la estrategia de Capacitación en Contratación en Actividades de Ciencia, Tecnología e Innovación y Seguimiento a Proyectos de Inversión financiados con recursos del FCTeI - SGR. Como resultado de la estrategia implementada, la Secretaría Técnica en conjunto con los participantes antes mencionados elabora los Planes de Acompañamiento, a través de los cuales registra los problemas y dificultades observados en cada uno de los proyectos analizados como compromiso de mejora, su responsable y la fecha estimada para el cumplimiento de los dichos compromisos.</t>
  </si>
  <si>
    <t xml:space="preserve">Seguimiento de los planes y acuerdos estratégicos departamentales en CTeI </t>
  </si>
  <si>
    <t>80% de proyectos de la oferta Colciencias, aprobados por el OCAD</t>
  </si>
  <si>
    <t>Durante el primer semestre de 2016, no se llevaron al OCAD  del FCTeI del SGR proyectos para viabilización, priorización y aprobación, toda vez que los proyectos presentados a la Secretaría Técnica no cumplieron requisitos para proceder a evaluación y posterior presentación a los miembros del OCAD. Con base en lo anterior, Como Secretaría Técnica se adelantaron mesas de trabajo con el objetivo de brindar asistencia técnica a las entidades territoriales y a los equipos de formulación, lo que permitió aprobar un proyecto de Apropiación Social del departamento de Atlántico, uno de Formación de Alto nivel y otro de ONDAS del Valle del Cauca. Por otro lado, si bien no se aprobó en el OCAD, si se brindó la asistencia técnica necesaria para llevar al OCAD el programa de ONDAS del departamento de Putumayo.
Durante el segundo semestre de 2016, se generaron alternativas para brindar asistencia técnica a las entidades territoriales y a los equipos de formulación a través de mesas de trabajo (de construcción de PAED, Actualización de PAED o de asistencia para el cumplimiento de los requisitos establecidos por la Comisión Rectora. Dentro del marco de construcción de los Planes y Acuerdos Departamentales en CTeI, se orientó la importancia de contar con proyectos relacionados con la oferta institucional, toda vez que con ello se cumplirían metas territoriales y nacionales de CTeI. 
Se han llevado a cabo jornadas de capacitación interna con los profesionales del equipo de la secretaría técnica y externa con actores del SGR (entidades territoriales, Congresistas, Universidades y otros) con el objetivo de brindar herramientas que permitan claridad conceptual frente a los procedimientos de presentación de proyectos y cumplimiento de requisitos de la Comisión Rectora. Como resultado se tienen 4 proyectos presentados al OCAD y 3 de ellos viabilizados, priorizados y aprobados por el Órgano Colegiado de Administración y Decisión del FCTeI (Apropiación Social del Conocimiento Atlántico, Formación de Alto Nivel y Ondas Vale del Cauca).
De igual manera dentro de los PAED quedaron identificados aproximadamente 40 proyectos relacionados con la oferta de Colciencias, los cuales serán presentados de una manera expedita, teniendo en cuenta que hoy se tienen los lineamientos tipo de esta clase de proyectos.</t>
  </si>
  <si>
    <t>Generar vínculos entre los actores del SNCTI y actores internacionales estratégicos</t>
  </si>
  <si>
    <t>5 Alianzas estratégicas internacionales en términos de recursos y capital político</t>
  </si>
  <si>
    <t xml:space="preserve">Participación de Colombia en el ámbito internacional, con miras a promover el avance de la Ciencia, Tecnología e Innovación </t>
  </si>
  <si>
    <t>Equipo de Internacionalización</t>
  </si>
  <si>
    <t>3 Alianzas estratégicas internacionales en
términos de recursos y capital político</t>
  </si>
  <si>
    <t>Circulación de conocimiento y prácticas innovadoras en un escenario global</t>
  </si>
  <si>
    <t xml:space="preserve">200 Movilidades internacionales apoyadas </t>
  </si>
  <si>
    <t>Para la convocatoria de movilidad e intercambio de investigadores con países de Europa, se espera financiar 18 postulaciones en las cuales se realizarían 184 movilidades. Surtido el proceso de selección y negociación, se registraron solamente 132 movilidades de intercambio en el marco de los proyectos conjuntos entre investigadores colombianos con pares en Francia y Alemania.
Se registra el apoyo de 13 movilidades internacionales en el marco del programa Colombia BIO y 4 movilidades en el marco de la convocatoria del programa Horizonte 2020.
Para cumplir los compromisos en el marco de la convocatoria Stic y Math Ansud, apoyando a los grupos de investigación que presentaron proyectos, se apoyan 8 movilidades a través del desarrollo de proyectos conjuntos entre Francia y el Cono Sur. En el marco del instrumento de jóvenes ingenieros, se logró apoyar a 38 beneficiarios (30 con Alemania y 8 con Francia) que contribuyen a la meta de niños y jóvenes apoyados en procesos de vocación científica y tecnológica.
Finalmente, se han contratado 3 líderes de grupos Tándem de la expedición de Max Plank, y fuero aprobadas sus propuestas de investigación.</t>
  </si>
  <si>
    <t>Gestión de Recursos
Financieros de Cooperación
Internacional para CTeI</t>
  </si>
  <si>
    <t>2 Alianzas estratégicas internacionales en
términos de recursos y capital político</t>
  </si>
  <si>
    <t xml:space="preserve">Se registra el logro de dos alianzas estratégicas en términos de recursos como resultado de este programa. 
La primera se trata de la negociación y gestión de recursos del Newton Fund del Reino Unido para ejecutar proyectos del programa Colombia BIO, con un logro de 10 millones de libras que se adjudicaron por el Gobierno Británico, y 10 millones de libras que se gestionaron por el Sistema General de Regalías (SGR) de las regiones. Después de una negociación con el Fondo Newton para apoyar el programa de Colombio BIO, la Directora de Colciencias acompañó la visita de Estado del Presidente al Reino Unido, en noviembre de 2016,  en donde se firmó el Acuerdo de Colaboración entre el BEIS (Departamento de Negocios, Energía e Industria Estratégica) y Colciencias, para oficializar la creación del fondo de 20 millones de libras esterlinas que los dos gobiernos. Adicionalmente, Colciencias ha hecho una gestión interna dentro del país para que las regiones comprometan parte de recursos del SGR a este fondo y la ejecución de sus programas se haga en sus Departamentos. Para tal fin se firmó una carta de intención entre Colciencias y los Departamentos interesados en participar (Cundinamarca, Boyacá, Nariño, Risaralda, Bolívar y San Andrés) en la iniciativa de Colombia BIO, así como un esquema de ejecución de los recursos propios y los apalancados en el Reino Unido. Para finiquitar el compromiso asumido y estructurar estrategias y programas bilaterales, algunos delivery partners (entidades encargadas de ejecutar los recursos del Newton Fund del Reino Unido) visitaron Colombia y las regiones comprometidas del 3 al 7 de octubre. Durante esa visita no solo los Gobernadores estuvieron presentes, sino también diferentes actores estratégicos  que ratificaron su participación en este proyecto binacional.
La segunda alianza estratégica alcanzada hace referencia al apalancamiento de recursos con la Unión Europea en el marco de la convocatoria Eranet – LAC que busca apoyar y fomentar la cooperación en materia de investigación científica e innovación entre los países de la Unión Europea y América Latina y el Caribe. Para tal fin se trabajó en una convocatoria que apoya proyectos de investigación e innovación en diferentes áreas del conocimiento y, en algunos casos, también la movilidad internacional en el marco de dichos proyectos. En ella se buscó favorecer el tema de Energía y, en particular, temas asociados al desarrollo de Biorefinerías. La convocatoria cerró en agosto pasado, y el 7 y 8 de septiembre en Ciudad de Panamá las agencias financiadoras de las dos regiones eligieron las propuestas financiables.
Se apoyaron 4 iniciativas para la región, y Colciencias aportó para cada uno $108.361.025 de pesos (25.000 euros), para un total $433.444.099, según lo establecido por la Resolución 854 de 2015 y los términos de referencia de dicho instrumento. Es de resaltar que los demás países de la región que están dentro del consorcio aportaron para estos 4 proyectos, más de 1.412.000 euros para la financiación de los proyectos birregionales en el tema de biorefinerias. </t>
  </si>
  <si>
    <t xml:space="preserve">Participación de Colombia en Horizonte 2020 de la Unión Europea </t>
  </si>
  <si>
    <t>2 Consorcios conformados</t>
  </si>
  <si>
    <t>Convertir a COLCIENCIAS en Ágil, Transparente y Moderna</t>
  </si>
  <si>
    <t>86% Índice ATM</t>
  </si>
  <si>
    <t>Cultura y comunicación de cara al ciudadano</t>
  </si>
  <si>
    <t>70% satisfacción de usuarios</t>
  </si>
  <si>
    <t>62% de cumplimiento de los requisitos de transparencia en Colciencias</t>
  </si>
  <si>
    <t>80%  de cumplimiento de los requisitos de gobierno en línea en Colciencias</t>
  </si>
  <si>
    <t>Comunicamos lo que hacemos</t>
  </si>
  <si>
    <t>Equipo de
Comunicaciones</t>
  </si>
  <si>
    <t>100% de programas estratégicos
comunicados</t>
  </si>
  <si>
    <t>100% de cumplimiento de los requisitos de transparencia en Colciencias</t>
  </si>
  <si>
    <t>78% de cumplimiento de los requisitos de gobierno en línea en Colciencias</t>
  </si>
  <si>
    <t>Talento humano competente, innovador y motivado</t>
  </si>
  <si>
    <t xml:space="preserve">Incrementar 0,6 la calificación de cultura
organizacional </t>
  </si>
  <si>
    <t>Se registra un incremento del xx% en la calificación de cultura organizacional, asociado al plan de transformación cultural implementado desde el área de talento humano, a través de diversos talleres que buscan incentivar los niveles de productividad y competitividad de los funcionarios de Colciencias.
Se desarrollan en un 100% las actividades del plan de bienestar de la Entidad que estuvo orientado a la implementación de estrategias que fortalezcan la calidad de vida de la comunidad Colciencias implementando la cultura de salario emocional.
Se otorgaron 39 auxilios educativos a los hijos de los funcionarios y se beneficiaron 5 servidores públicos mediante créditos educativos condonables.
Se evidencia del establecimiento del sistema de señalización de Seguridad y salud promoviendo la cultura de prevención en los servidores, contratistas y visitantes.
Se desarrollaron la totalidad de las 29 actividades incluidas en el plan de capacitación, buscando cubrir las necesidades evidenciadas en el resultado del diagnóstico efectuado. Se trabajaron competencias funcionales, comportamentales y se trabajaron temas con los cuales se minimizo el impacto psicosocial.
Se aprueba el manual de funciones y competencias laborales, que se adopta con la resolución 1182 del 25 de octubre de 2016. Se realizó la debida divulgación entre los colaboradores de la entidad.
Mediante el desarrollo del programa, se da cumplimiento al 72% de los requisitos de transparencia mediante gestiones de divulgación de la gestión administrativa, actividades para reforzar los valores institucionales que se encuentran inmersos en el Código de Ética y actividades para la gestión del talento humano en la Entidad.</t>
  </si>
  <si>
    <t>78% de cumplimiento de los requisitos de transparencia en Colciencias</t>
  </si>
  <si>
    <t>Cero improvisación</t>
  </si>
  <si>
    <t>Oficina Asesora de
Planeación
Dirección
Administrativa y
Financiera
Oficina de Control
Interno
Secretaría General</t>
  </si>
  <si>
    <t xml:space="preserve">100% de oportunidad en el cumplimiento de fechas programadas para la formulación, seguimiento y evaluación de los planes institucionales </t>
  </si>
  <si>
    <t>Oficina Asesora de Planeación:
Se cumplió con el 100% de actividades programadas en el plan de planeación 2016, entre las cuales se destacan: la presentación del informe  con corte a 30 de septiembre que da cuenta de la gestión institucional conformado por:  el tablero de control de indicadores estratégicos y el plan de acción institucional.  Mensualmente, se presentaron los avances en la ejecución del plan de convocatorias y de inversión, y con corte a 30 de agosto se presentó el informe de avance del plan anticorrupción.  Capacitaciones buscando la apropiación del modelo de planeación y monitoreo estratégico. Finalmente, y de acuerdo al plan de hitos, se dió el inicio de la planeación 2017 tanto a nivel estratégico como táctico y la auditoria de seguimiento a la certificación del SGC.
Producto de las actividades desarrolladas en conjunto con el DANE y OCyT, en el último trimestre se registraron resultados importantes como:  la certificación por parte del DANE al proceso estadístico: "Grupos de Investigación reconocidos y categorizados por Colciencias". El cual alcanzó la certificación tipo B por dos años, mejorando la calificación recibida dos años atras.  En aras de lograr mas adelante la certificación de otros  procesos estadísticos, se avanzó en la documentación de otros tres procesos estadísticos:  grupos de investigación, Becas - Crédito, Investigadores reconocidos por Colciencias y Proyectos de investigación apoyados por Colciencias.  Por otra parte, se recibieron a satisfacción tres importantes estudios realizados por el OCYT: Medición de ACTI nuevos elementos a incluir, Medición ACTI en proyectos con recursos de regalías y Metodología para Indicadores de Cultura.
La oficina de planeación apoyo con éxito la sistematización de la información asociada al diseño/rediseño de los 11 instrumentos programados para la vigencia.  Este ejercicio apunta a una gestión del conocimiento que redundará en mejores prácticas.  En la misma vía se documentaron y socializaron los ejercicios de optimización de procesos  adelantados en la vigencia bajo metodologias de innovación.
Para “Contribuir a una Colciencias más transparente”, la OAP debía cumplir y mantener 148 requisitos, de los cuales se tenían 104 requisitos cumplidos, 25 se encontraban en cumplimiento parcial y 19 sin cumplir, lo cual representaba un cumplimiento del 70% de los requisitos a cargo, para el inicio de la vigencia 2016.  La ejecución de las acciones planificadas permitió:  132 requisitos cumplidos, 13 en cumplimiento parcial y 3 sin cumplir. Logrando el 89% frente a una meta planificada del 85%.
Para “Contribuir a una Colciencias más moderna”, la OAP debía cumplir y mantener 9 requisitos, de los cuales se tenían 3 requisitos cumplidos, 3 se encontraban en cumplimiento parcial y 3 sin cumplir.  La ejecución de estrategias permitió:  7 requisitos cumplidos, 1 parcial, y 1 sin cumplir.  Logrando un cumplimiento de 78% frente a una meta planificada del 73%.
Secretaría General:
En el último trimestre del año, se desarrollar capacitaciones con el fin de brindar apoyo puntual en el tema contratación de acuerdo a lo establecido en la Ley y el Manual de Contratación y Supervisión.  52 servidores de la Entidad, incluidos supervisores de contrato participaron de estas capacitaciones.  Así mismo a través de la Comunicación interna N° 008 de 2016 la Secretaria General reiteró los lineamientos para ejercer la supervisión de Contratos y Convenios, este documento fue dirigido a los Directores Técnicos, Jefes de Oficina, Gerentes de Rublo y Supervisores.
Control interno:
Se realiza la ejecución y presentación de auditorías, seguimientos y evaluaciones programadas conforme lo planeado. La Auditoría Interna de Calidad vigencia 2016, se ejecutó en cumplimiento del programa Anual de Auditorías establecido por la Oficina de Control Interno. Se realizaron dos campañas de sensibilización en los temas de Autocontrol, Autogestión y Autorregulación.  De acuerdo con lo establecido en el Índice de Transparencia Nacional, la Oficina de Control Interno cumple con el 100% de requisitos de transparencia al realizar la publicación en sitio web de los mecanismos de control interno.</t>
  </si>
  <si>
    <t xml:space="preserve">85% de cumplimiento de requisitos de transparencia en Colciencias (Planeación) </t>
  </si>
  <si>
    <t xml:space="preserve">73% de cumplimiento de requisitos de GEL en Colciencias </t>
  </si>
  <si>
    <t xml:space="preserve">100% de cumplimiento de requisitos de transparencia en Colciencias  
(Control Interno) </t>
  </si>
  <si>
    <t xml:space="preserve">Convertir a COLCIENCIAS en Ágil, Transparente y Moderna </t>
  </si>
  <si>
    <t>Más fácil, menos pasos</t>
  </si>
  <si>
    <t>Oficina Asesora de
Planeación</t>
  </si>
  <si>
    <t>40% nivel de madurez del SGC</t>
  </si>
  <si>
    <t xml:space="preserve">100% de cumplimiento en la reducción de tiempos, requisitos o documentos en procedimientos seleccionados </t>
  </si>
  <si>
    <t xml:space="preserve">100% de avance del plan de racionalización de trámites </t>
  </si>
  <si>
    <t>100% de cumplimiento de requisitos de transparencia en Colciencias</t>
  </si>
  <si>
    <t>67% de cumplimiento de requisitos de GEL en Colciencias</t>
  </si>
  <si>
    <t>Gestión Documental</t>
  </si>
  <si>
    <t>Dirección Administrativa y Financiera</t>
  </si>
  <si>
    <t>60% Implementación del Programa de Gestión Documental</t>
  </si>
  <si>
    <t>42% de cumplimiento de los requisitos de transparencia en Colciencias</t>
  </si>
  <si>
    <t>Adopción de estándares
internacionales de alta calidad para el reporte de la información financiera y contable en el Sector Público</t>
  </si>
  <si>
    <t>Manual de políticas contables aprobado por el CDA</t>
  </si>
  <si>
    <t>Se realiza en 2017</t>
  </si>
  <si>
    <t>Se finaliza la actividad para la vigencia 2016 con la proyección de las políticas NICSP de Colciencias. La aprobación del manual se realizará en el año 2017 en razón a que la implementación del nuevo marco normativo fue aplazada por un año más por la Contaduría General de la Nación mediante Resolución 629 de diciembre de 2016.
Se finalizó la totalidad de sesiones de capacitacion en el tema, quedando pendiente la sensibilización de las politicas definitivas, sujeto a la aprobación del manual en la vigencia 2017. Se elaboraró el diagnóstico de homologación sistema contable vigente vs NIIFs, con el cual se puedo analizar los efectos de las diferencias entre el Régimen de Contabilidad Pública vigente y el Marco Normativo anexo a la Resolución No. 533 de 2015, de igual forma se generó el plan de implementación de lo cual se derivan dos modelos contables.
Al mes de noviembre las áreas responsables de realizar la depuración efectuaron un avance  considerable viéndose reflejado los movimientos en el aplicativo Web SAFI y en la contabilidad de la entidad.
Frente al aporte del programa al cumplimiento de requisitos de transparencia, se registra un avance de 100% asociado a la publicacion mensual de las ejecuciones prespuestales en la pagina de Colciencias,</t>
  </si>
  <si>
    <t>El Fondo Francisco José de
Caldas (FFJC), instrumento
efectivo en la canalización de
recursos</t>
  </si>
  <si>
    <t>Infraestructura Física y Tecnológica</t>
  </si>
  <si>
    <t xml:space="preserve">100% puestos de trabajo operando en las modalidades seleccionadas </t>
  </si>
  <si>
    <t>Al mes de diciembre, ya se encuentra terminada la labor de ubicación de todos los funcionarios y colaboradores de Colciencias en la nueva sede, de acuerdo con los planos finales y puestos asignados para cada una de las áreas. Adicionalmente, se gestionó el arrendamiento de la oficina del equipo de Gestión Territorial.
Se da completo cumplimiento al plan operativo de servicios administrativos y el reglamento de ingreso a la nueva sede. De igual forma, se cumplieron al 100% las actividades programadas con respecto a la adecuación de la nueva sede.
En cumpliento de los objetivos propuestos para la vigencia y a fin de contribuir a la modernización de Colciencias, se extructuró y aprobó el documento de la política Ambiental de la Entidad en el Comité de Desarrollo Administrativo, con lo cual se dá cumplimiento parcialmente al objetivo en la presente vigencia fiscal, queda pendiente realizar el programa para la destinación final de los desechos tecnológicos.</t>
  </si>
  <si>
    <t>100% de cumplimiento de los requisitos de GEL en Colciencias</t>
  </si>
  <si>
    <t>Gestión e Infraestructura de TI</t>
  </si>
  <si>
    <t>Oficina de TIC</t>
  </si>
  <si>
    <t xml:space="preserve">85% Avance en el desarrollo del nuevo sistema integrado de información </t>
  </si>
  <si>
    <t xml:space="preserve">Se registró un avance del 75% en el desarrollo del nuevo sistema integrado, con avances en los módulos de información de personas, grupos e instituciones. No se ha logrado la meta esperada del 85% por razones asociadas a:
- Atraso en las entregas de instalación por parte de la empresa desarrolladora, por ajustes al software y su arquitectura.
- Periodos mas largos de pruebas de aceptación de lo que inicialmente se tenia previsto por número de incidencias.
- Cambios y nuevos requerimientos por cambios en la entidad en los procesos.
Los avances para llegar a una ejecución del 75% se asocian a: la instalación del módulo de actores, reportes de actores y componentes transversales, actividades de configuración de los ambientes de pruebas y preproducción según arquitectura vigente, instalación de la versión que incluye módulo de actores con controles de cambios, parametrización, participación de convocatorias de CTeI, y la estabilización de la arquitectura en ambiente de pruebas de Colciencias como requisito para inicio de pruebas.
Se cumplió el plan de adecuación y dotación tecnológica de la nueva sede. Se continuo con el proceso de implementación del software especializado PURE de ELSEVIER, con el cual se va a realizar un piloto que ayudaría a medir la brecha entre los resultados de ciencia y tecnología que se obtienen en el país comparado con los logros de la comunidad internacional, información requerida para la generación de políticas públicas en CTeI.
Se observa el aporte al cumplimiento de 100% de requisitos de transparencia asociados al programa, relacionados con acciones referentes a la publicación de la Política de Antifraude y Antipirateria. De igual forma, frente al cumplimiento del 47% de requisitos de Gobierno en línea se observan gestiones asociadas con la implementación de la estrategia mediante acciones como la publicación de 6 sets de datos abiertos y actualización y certificación nivel 1 de otros dos sets, avances en trámites en Línea, Modelo de Seguridad y Privacidad de la Información (MSPI) y gestión de TI para el diagnóstico institucional de la Arquitectura Empresarial, Plan Estratégico de TI, Catálogo de Servicios de TI, Catálogo de componentes de información, Catálogo de Servicios Tecnológicos y Arquitectura de Servicios Tecnológicos.
La Entidad ganó el concurso máxima velocidad índigo organizada por el MinTIC en la categoría de entidades del orden nacional, que buscaba premiar el mejor equipo digital de gobierno según los avances en la estrategia de Gobierno en línea.
</t>
  </si>
  <si>
    <t xml:space="preserve">47% de cumplimiento de los requisitos de GEL en Colciencias </t>
  </si>
  <si>
    <t>Propiciar condiciones para conocer valorar conservar y aprovechar nuestra biodiversidad</t>
  </si>
  <si>
    <t>250.000 nuevos registros de especies en el Global Biodiversity Information Facility (GBIF) aportadas por Colombia</t>
  </si>
  <si>
    <t>Colombia Bio</t>
  </si>
  <si>
    <t>Dirección General</t>
  </si>
  <si>
    <t>8 expediciones biológicas</t>
  </si>
  <si>
    <t>* Los resultados  de la meta estratégica son acumulados y reportados de acuerdo con la frecuencia de medición definida en la hoja de vida del indicador</t>
  </si>
  <si>
    <t xml:space="preserve">** Los resultados de la meta del programa se reportan de acuerdo a los tiempos establecidos en la planeación estratégica </t>
  </si>
  <si>
    <t xml:space="preserve">En agosto de 2016 se aprobó mediante resolución No.790 la adopción de la política nacional  para mejorar el impacto de las publicaciones científicas nacionales y el Modelo de clasificación de revistas científicas nacionales, PUBLINDEX. Con base en este documento, se implementa la convocatoria 768 de 2016 que a la fecha ha surtido su etapa I "Diagnóstico" y en el año 2017 iniciará la etapa II correspondiente a la "Clasificación Oficial".
Se registran para el año 2016 un total de 75 revistas colombianas incluidas en los índices bibliográficos citaciones Journal Citación Reports - JCR y Scimago Journal of Rank - SJR.
Colciencias realizó el proceso de homologación de revistas científicas extranjeras según lo establecido en la política antes mencionada, y de acuerdo con la ubicación de la revista en los cuartiles (Q1, Q2, Q3 y Q4). Para aquellas revistas cuyos ISSN estén incluidos en alguno de los siguientes índices citacionales: WoS - JCR (SCI o SSCI), Scopus (SJR), o alguno de los siguientes índices bibliográficos: Index Medicus, Psyc INFO y Arts &amp; Humanities Citation Index (A&amp;HCI), a la fecha de revisión.  </t>
  </si>
  <si>
    <t xml:space="preserve">
El informe final de estadísticas de 2.016 de la SIC, publicado el 20 de enero de 2017, reportó  545 solcitudes de patente de invención. Este resultado se debe a la continuación de la operación del Fondo de protección de patentes a través de los operadores regionales en Barranquilla, Bogotá-Región, Bucaramanga, Cali y Medellín, que tiene como fin el apoyo técnico y financiero a los beneficiarios en el alistamiento de la solicitud de patente y su posterior presentación ante la Superintendencia de Industria y Comercio – SIC Los procesos de adición, Otrosí y prórroga a los Convenios con los operadores encargados de estas estrategias durante el segundo semestre permitieron mayores aportes de contrapartida que contribuyeron al aumento de la meta. Adicionalmente el esfuerzo nacional en materia de Propiedad Intelectual a travésde de toads  las entidades que conforman el Sistema de Propiedad Intelectual también permitieron potenciar al incremento de las solicitudes de patente de invención por residentes.                                                                                                                                                                     </t>
  </si>
  <si>
    <t>Atrévete (A Ciencia Cierta - Ideas para el Cambio)</t>
  </si>
  <si>
    <t>Durante el año 2016 se realizaron actividades de sensibilización en las diferentes Cámaras de Comercio, con el propósito de motivar al empresario  a continuar a la etapa de formación para profundizar las temáticas en innovación. La asistencia registrada fue masiva, con un resultado de 6.593 empresas que participaron en las jornadas de sensibilización. Se debe tener en cuenta que la etapa de sensibilización, es el primer componente para ingresar al Programa Alianzas y posteriormente ingresar a la etapa de formación, por lo que las empresas formadas también han sido sensibilizadas.
El programa alcanzó un total de 1.669 empresas apoyadas en procesos de innovación. Se superó la meta debido a la alta difusión realizada desde la entidad y las Cámaras de Comercio. 
Se firmó convenio con Confecamaras para la implementación del programa, una vez se dé inicio a la etapa de formación se contará con el listado preliminar de empresas que ingresarán al componente de implementación de proyectos o prototipos.
Respecto al portal de Innovación y teniendo en cuenta la importancia que este reviste para los resultados del Plan Nacional de Desarrollo, desde el Comité Técnico Mixto del Sistema Nacional de Competitividad de ciencia, tecnología e innovación se definió que el Portal será administrado por el MinTIC.</t>
  </si>
  <si>
    <t>La meta inicial del programa era alcanzar el apoyo a un aproximado de 12 empresas mediante 4 acuerdos a suscribir con Ruta N, el ICIP, el Centro de Bioinformática Computacional BIOS y Augura-Cenibanano. Si bien se dió trámite a la suscripción de dichos convenios, durante el 2016 solamente se dió inicio a la ejecución del convenio con el ICIP para la consolidación de un Fraunhofer Project Center, con lo cual se alcanzó a iniciar el apoyo a un total de 10 empresas.  El ICIPC logró apoyar en procesos de innovación 7 emrpesas adicionales mediante otros programas de Colciencias.
En el marco del convenio 593 de 2014 con el SENA se apoyaron 40 empresas para el desarrollo principalmente de innovaciones en producto/servicios. De igual forma, en el marco de la convocatoria 701- 2014 modalidad 2 fueron apoyadas 6 empresas para la validación comercial de nuevos porductos y servicios.Dado el enfoque orientado hacia el apoyo en I+D al sector productivo del porgrama de fortalecimiento de actores, en la suma total de empresas apoyadas en procesos de innovación de este programa se incluyeron los resultados mencionados del Convenio SENA y  de la convocatoria 741 de 2014, lo cual no se había contemplado inicialmente en el ejercicio de planeación 2016.  Es así como se llega al número de 61 empresas apoyadas. 
Adicionalmente, durante 2016 se diseñó y se puso en ejecución el proceso de reconocimiento de Unidades Empresariales de I+Dí, se diseñaron las guías de evaluación y autoevaluación para el reconocimiento de Centros de Desarrollo Tecnológico y Centros de Innovación, y se surtió el proceso de reconocimiento de Unidades de I+D+i de Empresas Altamente Innovadoras con el fin de ejecutar el piloto establecido en virtud del CONPES 3834 de 2015.</t>
  </si>
  <si>
    <t>En el marco de la alianza entre el MinTIC y Colciencias, se han desarrollado instrumentos y se han apoyado proyectos que tienen como propósito incrementar la capacidad y la actividad de investigación, desarrollo tecnológico e Innovación en las TICs para su aplicación al desarrollo productivo y social del país. Derivado del esfuerzo anterior, se registra un total de 236 empresas apoyadas en procesos de innovación. 
Adicionalmente, se registra en el programa estratégico de TIC un total de 2.343 personas sensibilizadas en la importancia de CTeI mediante las convocatorias desarrolladas conjuntamente con el MinTIC. Así mismo, se registra derivado de la ejecución y seguimiento a las contrataciones de los centros de excelencia y apropiación, un total de 68 becas para la formación de lato nivel,  a saber 15 estudiantes en programas de doctorado y 53 estudiantes de programas de maestría.</t>
  </si>
  <si>
    <t>Para la iniciativa estratégica de los Premios Colciencias, se avanzó en la conceptualización de los reconocimientos que incluye categorización, instancias y fases de evaluación y calificación, desarrollo de marca.  Así mismo se avanzó en el diseño y desarrollo del micrositio a nivel de pruebas.  
Se adelantó la realización (Preproducción, producción y posproducción) de dos capítulos documentales enmarcados en las expediciones del programa Colombia Bio en Santander y Sea Flower.
Se registran 22 capítulos producidos de la iniciativa Formulas de Cambio, con los que se alcanzó a sensibilizar a un total de 388.988 personas en la importancia de la ciencia, la tecnología y la innovación. Se concretaron alianzas estratégicas con Señal Colombia y Canal Trece para hacer difusión a los contenidos.
Para la iniciativa de Científico por un día, se adelantó la producción de 12 capítulos y material convergente. Por otra parte, se realizó la producción de 15 cápsulas de video enmarcadas en la serie para televisión misión ciencia.
Para Ciencia cotidiana, a partir de la producción y difusión de contenidos y la activación presencial que busca cautivar la atención de un público adolescente, con respecto a temas científicos, se registra un total de 956.257 personas sensibilizadas mediante esta iniciativa. Adicionalmente, se diseño e implementó la estrategia regional de charlas presenciales "ruta de la ciencia".
La consecución de alianzas con diferentes medios de comunicación disparó el resultado de personas sensibilizadas frente a lo planeado inicialmente donde no se contaba con una línea de base para predecir el impacto de las diferentes inervenciones realizadas. Debido al comportamiento observado, se plantea realizar un ajuste, aumentando la meta de personas sensibilizadas para las siguientes vigencias, contemplando diferentes niveles de sensibilización.
Adicionalmente, se registra en el programa estratégico de TIC un total de 2.343 personas sensibilizadas en la importancia de CTeI mediante las convocatorias desarrolladas conjuntamente con el MinTIC.</t>
  </si>
  <si>
    <t>Se registran 1.593 becas para la formación de alto nivel entre maestrías y doctorados en el exterior, distribuidas de la siguiente forma en los diferentes instrumentos de apoyo desarrollados por Colciencias y otras entidades aliadas: 11 de la convocatoria realizada con la Agencia Nacional de Hidrocarburos, 77 mediante la convocatoria 756 de 2016 para la financiación de estudios de doctorado en el exterior, 222 para la convocatoria 757 de 2016 de doctorados nacionales, 21 mediante la convocatoria para doctorados en el exterior Fulbright, 4 mediante la convocatoria para doctorados en el exterior Georgia Tech, y 1.258 de los candidatos seleccionados por parte del Programa Crédito - Beca Colfuturo 2016., correspondientes a 96 doctorados y 1.162 maestrías. En este último caso, debido a las variaciones de la tasa de cambio, se presentó una reducción en el número de créditos beca inicialmente programados, afectando el cumplimiento de la meta. 
Por otra parte, a través de la gestión realizada con los recursos del Sistema General de Regalías (SGR) con los departamentos de Caquetá, Putumayo, Tolima, Guaviare y Norte de Santander, se lograron asignar mediante el primer corte de las convocatorias abiertas en esta vigencia, 189 becas para la formación de alto nivel, distribuidas de la siguiente forma: 49 créditos asignados para doctorados nacionales y en el exterior, 140 créditos beca para formación a nivel de maestría nacionales y en el exterior. Adicionalmente, se registra el aporte de 48 becas pasantía correspondientes al departamento de Norte de Santander para el capítulo de jóvenes investigadores que aportan a la meta de niños y jóvenes apoyados en procesos de vocación científica y tecnológica. Finalmente, con los departamentos de Santander, Cesar y Sucre se logró dar apertura a convocatorias de formación de alto nivel en el segundo semestre del 2016, cuyo resultado se podrá observar en la siguiente vigencia. Se registra adicionalmente, que con los departamentos de Atlántico, Córdoba y Huila, pese a las gestiones desarrolladas por Colciencias, no fue posible dar apertura a las convocatorias inicialmente programadas para la vigencia, lo que afectó de forma negativa el cumplimiento de la meta esperada de la gestión territorial. Buscando el apalancamiento de esta meta mediante la gestión con los departamentos, se formuló el proyecto oferta Colciencias que pueden utilizar las entidades territoriales para la estructuración de proyectos de formación de capital humano a nivel de maestrías investigativas o doctorados.
A través de la convocatoria 758 - 2016 de doctorado Nacional en Empresa 2016, COLCIENCIAS financiará 37 personas para que adelanten sus doctorados en los programas reconocidos por la convocatoria 727 de 2015, en empresas cuyas unidades de I+D+i permiten el desarrollo de sus investigaciones. Esto se logra mediante la gestión de 29 acuerdos de formación e investigación suscritos entre las Instituciones de Educación Superior IES y las empresas. Es la primera vez que se implementa este tipo de instrumento que busca acercar en esta forma las necesidades del sector productivo con la oferta de capital humano de alto nivel para la CTeI, y pese a la acogida que tuvo en las entidades, no se logró cumplir la asignación de la totalidad de becas que se esperaba inicialmente.</t>
  </si>
  <si>
    <t>Se avanzó en actividades que permitieran establecer una hoja de ruta y determinar el mecanismo más adecuado para la gestión de la Comunidad de Becarios COLCIENCIAS. Para esto, se adelantaron una serie de entrevistas a grupos de becarios, que sirvieron de insumo para establecer un escenario de partida sobre las concepciones, necesidades, propuestas y deseos del grupo frente a la Entidad. Las reacciones de los beneficiarios sirvieron como insumo para establecer el marco de acción y el tipo de contenido que los beneficiarios de COLCIENCIAS esperarían de un espacio como la Comunidad de Becarios que se espera implementar. A partir de la encuesta desarollada, se concluyó que era necesario ajustar la estrategia por lo cual el cronograma inicialmente planteado se modifica para incorporrar en la plataforma que se decide implementar todos estos aspectos. Por esta razón,la implementación se extiende hasta 2017 y no se cumple la meta establecida para el programa.
Paralelamente, se elaboró una propuesta para vincular doctorados en industria, la cual derivó en la convocatoria 758 Doctorados en Empresa 2016. Para este ejercicio de diseño se contó con el apoyo de las universidades y varias de las empresas calificadas por COLCIENCIAS como altamente innovadoras; los resultados se reportan en el programa de formación de capital humano.
Para lograr el objetivo de contar con información de contacto, formación académica, publicaciones, ubicación laboral y demás datos que se consideran importantes, se construyó una base de datos con criterios estándares en dónde se ha empezado a consolidar la información de la base de datos de beneficiarios de convocatorias de formación de alto nivel. Esta es una información dinámica que requiere de una retroalimentación permanente, pero que será de insumo para la toma de decisiones estratégicas.</t>
  </si>
  <si>
    <t>A través del programa se logró apoyar en procesos de innovación a 360 empresas de las ciudades de Bogotá, Barranquilla, Bucaramanga, Cali, Cúcuta y Manizales.
Se cerraron las convocatorias para la selección y vinculación de las empresas en las 6 regiones donde se ejecutará el programa. En el caso de Barranquilla, Bucaramanga y Cali, se abrieron de nuevo otras convocatorias, teniendo en cuenta que no se alcanzó el número de empresas esperadas en estas regiones dada la época del año. Sin embargo, se espera en enero cumplir con estas metas. Se presentaron retrasos en la apertura de las convocatorias principalmente por temas administrativos relacionados con las aprobaciones y trámites de adiciones y legalizaciones que son para las Cámaras de Comercio requisito indispensable para el lanzamiento de las convocatorias. Lo anterior ocasionó que la inscripción de las empresas coincidiera con una época en la que es difícil obtener aprobaciones internas para la participación en el programa.
Se aclara que 60 empresas apoyadas en procesos de innovación previstas para la ciudad de Barranquilla se trasladaron a la meta del 2017. Finalmente, Se realizó el evento "Colombia + Innovadora" los días 3 y 4 de agosto, en donde se registraron 178 asistentes.</t>
  </si>
  <si>
    <t>Se registra para el programa un total de 339.267 niños jóvenes y apoyados mediante los proyectos financiados con recursos del Sistema General de Regalías y con los convenios de cooperación suscritos entre Colciencias y algunos departamentos. La meta planeada para el programa no llegó a su total cumplimiento debido a que en el Sistema General de Regalías no fue posible aprobar proyectos que atiendan al programa estratégico y a que algunos departamentos manifestaron desinterés en recibir apoyo.
Gracias a la gestión de Colciencias, el Programa Ondas quedó priorizado en los Planes y Acuerdos Estratégicos Departamentales en CTeI - PAEDs de Chocó, Nariño, Meta y Risaralda. 
Para la celebración de los 15 años del programa, se realizó la producción del libro Historias de Vida Ondas 15 años, que integra 41 historias y ya se encuentra en versión digital. La versión impresa se generará en el mes de enero de 2017.
Los cuatro proyectos especiales que perseguían la generación de actividades con aliados del sector público y privado para complementar los objetivos del Programa Ondas correspondieron a Cambio climático, Wiñay, Aventura Bio y Samsung. La implementación de los clubes de ciencias en 2016 cerró con un total de 1.228 niños y jóvenes apoyados. Se desarrollaron 60 clubes en los departamentos de: Antioquia, Cundinamarca, Nariño, Risaralda, Santander, Valle del Cauca y Huila.
Con el ánimo de actualizar los lineamientos para los actores y necesidades del Programa Ondas, se realizaron tres encuentros taller con coordinadores departamentales, docentes destacados y asesores del Programa Ondas, buscando recoger información y sugerencias para los lineamientos. Finalmente, se revisó el material pedagógico producido en los departamentos para su posible inclusión en los lineamientos y se definió la estructura de las seis cartillas con orientaciones y lineamientos del programa, los cuales se continuarán trabajando en el 2017.
Frente a la Comunidad Ondas, se logró un avance del 90% en su desarrollo, el 10% restante hace parte de unos ajustes con base en la aplicación móvil y diseños de logotipos, avatares y ambientes. Se espera contar con este valioso instrumento en la vigencia 2017. Frente al sistema de Información, se realizó la validación de la matriz de roles con las regiones, así mismo una propuesta de diseño.</t>
  </si>
  <si>
    <t>Mediante la convocatoria 761-2016 de Colciencias, se logró adjudicación de 265 becas-pasantía para el apoyo de 265 jóvenes investigadores, en diferentes entidades del Sistema Nacional de ciencia, tecnología e innovación. Adicionalmente, buscando lograr alianzas que permitan incrementar el número de beneficiarios, Colciencias y el SENA desarrollaron la convocatoria 743-2016 que tuvo como resultado 145 jóvenes beneficiarios de 385 que se esperaban financiar. Finalmente se dio apertura a una nueva convocatoria con el SENA para asignar el beneficio a jóvenes investigadores e innovadores en las modalidades especiales de formación técnica, tecnológica y profesional, que se encuentren en etapa o semestre de práctica.
Es importante tener en cuenta que para 2016 no se cumplió la expectativa frente a los resultados esperados por parte de la estrategia en gestión territorial. Se realizaron contactos con los departamentos priorizados para formulación y ejecución del proyecto Jóvenes Investigadores e Innovadores y se formalizó el proyecto tipo de para este programa. Se logró la inclusión del programa en los PAED de los departamentos de Sucre y Risaralda. Adicionalmente se brindó apoyo en la gestión de formulación de los proyectos de los departamentos de Sucre, Risaralda y Huila. 
Frente al relacionamiento con actores nacionales, se llevaron a cabo acciones de articulación con el SENA en la línea de Cultura para Innovación donde se registró la participación de 141 instructores y 262 jóvenes aprendices en el proceso de formación en innovación. Por otra parte, en el marco del convenio 314-2012  suscrito entre COLCIENCIAS y 8 universidades del país para premiar a jóvenes con las mejores tesis de grado, ganadores del Concurso Nacional Otto de Greiff, se registra el otorgamiento de 4 becas-pasantía para vinculación mediante proyectos de investigación.
Por otra parte, se realizaron gestiones con privados como Pfizer, Pepsi Co, Fundación El Nogal y entidades públicas como Ministerio de Trabajo, MinTic y Min Ambiente para fortalecer el programa. Con semilleros de investigación se generaron acercamientos con el fin de escuchar sus propuestas y definir posibles líneas de trabajo.
Adicionalmente se registra el aporte de 48 jóvenes investigadores desde las convocatorias de formación de alto nivel con el departamento de Norte de Santander.</t>
  </si>
  <si>
    <t>Se trabajó en lograr la adopción e implementación del Programa NEXO Global en diferentes departamentos, logrando su priorización en los Planes y Acuerdos Departamentales - PAEDS y posteriormente dando acompañamiento en la formulación del Proyecto Tipo. Durante el presente año se contactaron a 18 departamentos de los cuales actualmente se está dando acompañamiento a 7 de ellos en la formulación del proyecto tipo y en la elección de la Universidad Extranjera. Estos departamentos son Caldas, Bolívar, Sucre, Cesár, Huila, Valle del Cauca y Santander.
Pese a las gestiones institucionales, se presentaron dificultades en la adopción del programa a nivel regional lo que impidió lograr el resultado esperado de jóvenes apoyados. Las principales problemáticas encontradas fueron i) el déficit de Universidades y Programas Acreditados en los departamentos, ii) que los departamentos no cuentan con los estudiantes requeridos para el cumplimiento de la meta, y iii) que las gobernaciones manifiestan que es un Programa de alto costo. Se buscó mediante alianzas estratégicas el apalancamiento de recursos que permitieran aportar al logro de la meta y además obtener cupos para la realización de las pasantías de investigación de conformidad con los requerimientos de los departamentos y precios favorables en las mejores universidades del mundo. Pese a las gestiones realizadas no se logró cumplir la meta de jóvenes apoyados mediante procesos de vocación científica, la principal dificultad a la hora de negociar con las Instituciones de Educación Superior en el exterior radicó en que los departamentos toman bastante tiempo en definir temas como la cantidad de recursos a invertir, el número de estudiantes a ser enviados y las líneas de investigación dificultando la generación de  propuestas formales y la definición de cupos.
Se logró consolidar la alianza Colciencias, Partners of the Americas - Sapiencia mediante la cual se espera desarrollar 30 movilidades NEXO Global durante el 2017 y 2018. Bajo esta alianza se desarrollará la convocatoria denominada Ronda # 15 NEXO Global Colombia, que estará abierta hasta el mes de marzo de 2017. De igual forma, se recibieron las propuestas para la realización de pasantías de investigación en universidades como UC Davis, Salisbury y Cornell en Estados Unidos, Campus Iberus en España y Coimbra en Brasil. Estas propuestas fueron compartidas con los departamentos donde se desea implementar el programa. Finalmente, se establecieron vínculos con universidades e Instituciones de Educación Superior en distintos escenarios que permitieron la sensibilización sobre el programa Nexo Global.
Se evidencia el aporte de 38 jóvenes apoyados en procesos de vocación científica y tecnológica a través de las convocatorias de jóvenes ingenieros Francia y Alemania, del programa estratégico de circulación de conocimiento y prácticas innovadoras en un escenario global, los cuales aportan a la meta de este objetivo estratégico.</t>
  </si>
  <si>
    <t>En 2016 se firmó el pacto por la innovación en las ciudades de Barranquilla, Bogotá,y en la ciudad región del eje cafetero, que comprende a Manizales, Pereira y Armenia. A través de la implementación de este programa, se registran más de 2.200 organizaciones firmantes, con lo que se busca incrementar las sinergias entre los actores del ecosistema de innovación en las regiones e incrementar la inversión por parte de las empresas en I+D+i para ser más competitivas.
Por otra parte se han apoyado a 82 empresas en procesos de innovación a través de la plataforma SUNN.  Esta plataforma ofrece herramientas de búsqueda de innovación, creada para reunir en una sola red startups, inversionistas, empresas y grupos de investigación y desarrollo, conectando oferta y demanda de innovación, en la cual se podrá interactuar de manera dinámica y eficiente. Dicha plataforma ofrece la posibilidad de conectarse a nivel mundial con los actores anteriormente mencionados.</t>
  </si>
  <si>
    <t xml:space="preserve">Se realizó la II Reunión de Ministros y Altas Autoridades de Iberoamérica en Ciencia, Tecnología e Innovación, enmarcada en la cumbre Iberoamericana. Dicha reunión tuvo lugar en Cartagena los días 06 y 07 de octubre de 2016. Se firmó la declaratoria de los Ministros de CTeI en la que se reitera el  compromiso de continuar trabajando en el desarrollo de una agenda común en ciencia, tecnología e innovación en Iberoamérica, con el fin de  fortalecer los  espacios multilaterales promoviendo políticas, programas y acciones que ayuden  alcanzar un desarrollo económico, social, inclusivo y sustentable.
En el primer semestre del año se recibieron 4 visitas de alto nivel: Con DFG de Alemania con el propósito de fortalecer las relaciones y promover nuevas oportunidades de Cooperación. En el marco de estos encuentros se firmó un Memorando de Entendimiento que aporta  a la meta programática con el propósito de fortalecer las relaciones con socios internacionales estratégicos en Ciencia, Tecnología y Academia. 
Se realizó el pago de la cuota al Programa Iberoamericano de Ciencia y Tecnología para el Desarrollo (CYTED)  que permite que los investigadores colombianos pueden acceder a diferentes instrumentos de financiación que movilizan empresarios, investigadores y expertos iberoamericanos y les permiten capacitarse y generar proyectos conjuntos de investigación, desarrollo e innovación. 
Se generó el manual que busca formalizar la manera en que se interactúa con la OCDE, una organización internacional importante para el Gobierno Nacional y a la cual Colombia se encuentra intentando ingresar como miembro de pleno derecho. En ese sentido, Colciencias que hace parte de ese proceso de acceso a la organización debe mantener unos lineamientos de interacción y trabajo claros y establecidos para que se puedan reproducir de forma institucionalizada.
Se consiguen de esta forma las 3 alianzas estratégicas internacionales en términos de capital político como resultado del programa, a saber: Alemania, CYYED - ICGB y OCDE, mediante las cuales se generan y apoyan espacios estratégicos, con participación de actores internacionales, que contribuyan a la inserción del Sistema Nacional de Ciencia, Tecnología e Innovación en el mapa global. </t>
  </si>
  <si>
    <t>En el marco del programa estratégico, se desarrollaron 3 talleres con el fin de identificar y formar de investigadores e innovadores que sean potenciales participantes de consorcios. El primer taller tenía como objetivo informar acerca de Horizonte 2020 (H2020) que es el programa más ambicioso de la Unión Europea en investigación e Innovación, se realizó el 23 de mayo en el marco del proyecto ALCUE NET. El segundo taller los asistentes tuvieron la oportunidad de conocer el componente del programa de ciencia excelente, que está enmarcado dentro de las acciones de Marie Skłodowska-Curie (MSCA) y el Consejo Europeo de Investigación (ERC), este fue realizado el 25 de julio de 2016. El tercer y último taller desarrollado en el año, trató sobre innovación en el marco del programa y se realizó el día 8 de noviembre. En la jornada de capacitación, estuvo presente Juan Antonio Tébar, jefe de programas europeos en el Centro de Desarrollo Tecnológico Industrial (CDTI) español. Tébar explicó las diferentes temáticas del segundo pilar de Horizonte 2020, Liderazgo Industrial, que contiene convocatorias para apoyar proyectos para mejorar las capacidades industriales innovadoras de las empresas que ganen financiamiento. Así mismo, explicó el proceso de realizar una propuesta exitosa en el marco de Horizonte 2020 y dio sugerencias a los asistentes de cómo encontrar socios para ejecutar los proyectos. 
Se puede concluir este año, que Colombia logró 3 nuevos consorcios y financiación de Horizonte 2020. Los nuevos proyectos son IMAGE, FORAM Y Zikalliance.
La convocatoria para apoyar la movilidad internacional en la eventual conformación y fortalecimiento de consorcios en el marco del Octavo Programa Marco de la Unión Europea - HORIZONTE 2020 recibió 6 propuestas durante el año 2016, quedando un espacio de 5 meses durante el cual se encontrará abierta como ventanilla en 2017. Solo una de las propuestas recibidas resultó beneficiaria, presentada por la Universidad del Cauca, a la cual se asocian 4 movilidades internacionales apoyadas. Se planea que para el 2017 se refuerce la estrategia de comunicación y difusión de la convocatoria, para asegurar una mayor cobertura y mejorar el índice de recepción de propuestas. Así mismo, se trabajará con los Puntos Nacionales de Contacto recién asignados para comunicar la convocatoria en los nuevos espacios de difusión propuestos en sus planes de trabajo.
Resultado de la convocatoria ERANet LAC se apoyaron 4 proyectos de investigación e innovación, con participación de actores colombianos, saliendo favorecida la temática de energía y, en particular, temas asociados al desarrollo de Biorefinerías. Estos proyectos aportan a la meta estratégica del primer objetivo estratégico.</t>
  </si>
  <si>
    <t>Al realizar la encuesta de satisfacción a los ciudadanos que tuvieron algún contacto con la entidad vía correo electrónico durante el segundo semestre, se evidenció un resultado del 72% de satisfacción el cual se obtiene de la calificación general sumando los puntajes de excelente y bueno. Este resultado se asocia a las gestiones realizadas en la Entidad, enfocadas en  fomentar el buen servicio al interior de la entidad, para lo cual se realiza actualización del manual de servicio al ciudadano el cual contiene los protocolos y procedimientos que se deben seguir al momento de interactuar con el ciudadano, acompañado de un plan de comunicación interna basado en dar a conocer acciones que permitan el mejoramiento del servicio al interior de la Entidad, tomando como base conclusiones del análisis de la encuesta de satisfacción tales como: lenguaje claro, manejo de Peticiones, Quejas, Reclamos, Denuncias y Sugerencias -PQRDS, y correcto manejo del teléfono para prestar un mejor servicio.
En cuanto al cumplimiento de los requisitos de transparencia asociados al programa, se alcanza un 73%, superando lo programado, asociado a gestiones como los reportes mensulaes de PQRDS los cuales permiten conocer el desempeño de la entidad y el manual de atención al ciudadano.
En cuanto al cumplimiento de los requisitos de Gobierno en Línea asociados al programa, se alcanza un 100% superando lo programado, asociado al esquema de atención al usuario que contempla responsables, múltiples canales, servicios de soporte y protocolos para la prestación de trámites y servicios durante todo el ciclo de vida de los mismos.</t>
  </si>
  <si>
    <t>Se cumple con la meta de 100% de programas estratégicos comunicados a través de la definición y desarrollo de campañas de comunicación para difundir los temas estratégicos de la entidad, las cuales lograron marcar diferencia en cuanto al tono, lenguaje y novedad en los formatos de difusión que tradicionalmente se utilizaban. Así mismo resultan ser un valor agregado para las dependencias pues sirven como formato de visibilización de los instrumentos y resultados obtenidos en la gestión institucional.
Se registran cerca de 7 millones de páginas vistas en el nuevo portal institucional durante la vigencia, destacando que los contenidos con mayor número de visitas corresponden a los relacionados con las convocatorias de ciencia, tecnología e innovación que desarrolla Colciencias. Respecto a la interacción en redes sociales, se registran para la vigencia 39.979 nuevos seguidores en Facebook y 19.782 en Twitter. Estas redes sociales se convierten en un mecanismo para posicionar varios temas coyunturales, como fue la Semana de Fomento a la Investigación. Adicionalmente, se desarrolló material audiovisual, videos embebidos en las cuentas oficiales y en la cuenta oficial de Youtube, lo que permitió generar acercamientos con otro tipo de público. Así mismo, se desarrollaron parrillas de contenidos para eventos y semanas especiales.
Se estructuraron y desarrollaron acciones que fortalecieron el relacionamiento con los públicos estratégicos para Colciencias afianzando los vínculos de la Entidad con los actores de Sistema Nacional de ciencia, tecnología e innovación. Se coordinaron y apoyaron 140 eventos de las diferentes dependencias de la Entidad, logrando la promoción y divulgación de actividades que visibilicen los avances y gestión de la CTeI en el país. Se generaron 10 campañas de comunicación interna del a Entidad para comunicar los objetivos y programas estratégicos que conforman la planeación estratégica institucional.
Se logro el cumplimiento del 100% de los requisitos de transparencia del programa, mediante acciones relacionadas con la divulgación de información pública de la entidad. De igual forma, se registra 89% de cumplimiento de los requisitos de Gobierno en línea en gestiones relacionadas con la modernización del portal institucional y la generación de espacios de participación ciudadana.</t>
  </si>
  <si>
    <t>Conforme el reporte publicación de datos a través del Sistema de Información sobre Biodiversidad de Colombia (SiB) se observa un total de 215.607 nuevos registros biológicos publicados en el Global Biodiversity Information Facility (GBIF) aportadas por Colombia, 66 conjuntos de datos publicados y 20 organizaciones publicadoras. Se tenia como meta del programa lograr 250.000 nuevos registros aportados al Global Biodiversity Information Facility (GBIF) aportadas por Colombia, sin embargo esta meta no se logró alcanzar en su totalidad en este año, todo esto debido a los inconvenientes presentados para poder llevar a cabo la totalidad de las expediciones biológicas programadas, de cuya labor se desprende el resultado de registros ante la SIB Colombia. De igual forma, el número de registros asociados a cada expedición no cumplió con la expectativa planteada inicialmente, y la sistematización de la información de las expediciones realizadas en la vigencia no ha finalizado en su totalidad, impactando el resultado esperado.
En total se lograron realizar 5 expediciones biológicas de las 8 que estaban inicialmente planeadas, las cuales corresponden a Sea Flower, Malpelo, Santander, Malpelo (segunda expedición) y Antioquia. Las otras 3 expediciones programadas no se lograron realizar debido a las fuertes lluvias que se presentaron en los territorios seleccionados, sin embargo se encuentra el respaldo de los convenios gestionados que son la base para su realización. Las expediciones biológicas que no se lograron realizar debido al clima fueron i) Alto del Buey en el departamento del Chocó con el Instituto de Investigaciones Ambientales del Pacífico como aliado, ii) Parque Nacional Natural Chiribiquete en los departamentos de Caquetá y Guaviare, en alianza con Parques Nacionales y la Fundación Herencia Ambiental, y finalmente iii) Expedición a Belén de los Andaquies en el departamento de Caquetá, con el Instituto Amazónico de Investigaciones Científicas SINCHI como aliado.
Se cumplió la meta de 9 colecciones científicas apoyadas para incrementar el número de especímenes identificados taxonómicamente y cargados al GBIF.
Como estrategias de sensibilización sobre biodiversidad en el territorio en el marco de las expediciones biológicas del programa, se desarrolló 1 comité regional para la coordinación de las expediciones en el Putumayo, 1 taller de capacitación a participantes de la expedición (Putumayo), 6 talleres regionales de socialización (2 Putumayo, 3 Chocó y 1 en Antioquia). Finalmente, se crearon 2 protocolos para generar  acercamientos con las comunidades e integrarlas en las iniciativas del programa (Putumayo y Chocó).
Se generó la estrategia de atracción de unidades de I+D de multinacionales, y se apoyó a 60 empresas en procesos de promoción de sus productos de base bio. De igual forma, con el fin de avanzar en la cadena de valor y poder articular diferentes estrategias para el desarrollo del sector, Colombia BIO - Colciencias buscó en 2016 diferentes aliados para el desarrollo de programas innovadores. Es así como el Turismo Científico se volvió un bastión importante para la gestión de recursos regionales, logrando el apalancamiento de más de $14.000 millones de pesos para el desarrollo del programa en los departamentos de Meta, Nariño y Bolívar. Este programa está articulado con el Viceministerio de Turismo del Ministerio de Comercio, Industria y Turismo, el cual es un aliado decisivo en el futuro y ampliación del Programa a nivel nacional. Se apoyaron 13 movilidades internacionales en el marvco del programa.
Se generó el mapa de producción en biociencias moleculares asociado a investigadores colombianos, se crearon las fichas de atributos de laboratorios y de equipos o tecnologías que ayudan a la captura de información. Adicionalmente, se presentan avances en el diagnóstico base para el proyecto de inversión para el programa, relacionados a tendencias internacionales y nacionales.
Se realizó el mapeo de los procesos normativos que existen en las siguientes líneas de la cadena de valor Bio: Acceso a recursos biológicos, genéticos y sus productos derivados, fase de investigación, desarrollo de producto y comercialización.
Se realizó un evento de Medicina Tradicional en Silvania Cundinamarca, con la asistencia de Médicos Tradicionales, Sabedores y Sabedoras, Parteras, de las organizaciones indígenas de Colombia, generando un espacio de dialogo entre actores. Al evento se invitaron 60 sabedores de medicina tradicional y asistieron mas de 120 personas. Se registra el avance en la formulación de 4 proyectos de conocimiento tradicional.
Se generó el estudio de cienciometría para medir las capacidades en CTeI BIO de los departamentos. Se logró la priorización de las líneas BIO en los planes y acuerdos estratégicos de CTeI de 9 departamentos.
Adicionalmente, se apoyaron 16 proyectos de investigación, 2 en la convocatoria 763 de 2016 para proyectos en biodiversidad y 14 mediante la convocatoria 764 Portafolio 100 que busca cofinanciar proyectos que conduzcan a la comercialización de productos basados en el aprovechamiento sostenible de la biodiversidad colombiana, que incorporen conocimiento científico y tecnológico desarrollado localmente. Finalmente, respecto a la convocatoria Institucional Links - Newton Fund, se realizó la evaluación por parte de expertos colombianos, de las propuestas que cumplieron con requisitos mínimos de la convocatoria y se espera la selección de los proyectos financiables por parte del Reino Unido. En el primer trimestre del año 2017 se realizará el proceso de contratación a partir de las propuestas seleccionadas.</t>
  </si>
  <si>
    <t xml:space="preserve">Aplicado el instrumento de medición proporcionado por la Norma Española  UNE 66174 (Guía para la evaluación del Sistema de Gestión para el exito sostenido de una organización según la Norma Une en ISO 9004:2009), se logra un índice de madurez del 44,5% sobre un previsto del 40% al culminar esta vigencia. Las razones por las cuales se logra superar la meta se deben principalmente a un importante avance en los requisitos relacionados con comunicación de cara al cliente debido a la consolidación y documentación de la estrategia Colciencias Avanza y a la conformación de las bases de un modelo de gestión del conocimiento a través del Procedimiento Diseño de Instrumentos de CTeI liderado por el Subdirector General y el ejercicio Bitácora de Calidad (lecciones aprendidas) liderado por el Equipo Calidad de la OAP. Otros resultados que dan cuenta del fortalecimiento del SGC de la Entidad se encuentran:  la capacitación de al menos 29 auditores internos en sistema de gestión Integrado HSEQ con  El Icontec, la actualización del 100% de los documentos del sistema, 54% de avance en el plan de migración a la nueva norma ISO 9001 versión 2015, El mes de la calidad, estrategia que desarrolló una serie de actividades prácticas y lúdicas, que tenían por finalidad el cierre de los hallazgos de la auditoría interna al SGC y  obtener el sostenimiento de la certificación de calidad de la Entidad, 94% de cumplimiento del plan de capacitación brindado por el equipo de calidad.
Frente a la estrategia de optimización de procesos, se logró con éxito la optimización del Proceso Gestión Contractual. en el que se logró una reducción del  58% de los documentos y una reducción del 40% en las actividades.  Con respecto a la optimización de formatos y modelos: Se logró actualizar 23 formatos y optimizar e intervenir 20 formatos reduciéndolos a tan solo 5 mediante unificación de los mismos. Todo lo anterior significa que se realizó una reducción del 116% de cumplimiento en la reducción de tiempos, requisitos o documentos en procedimientos seleccionados (58% frente al 50% planteado para el procedimiento mencionado) 
En el mes de septiembre de 2016, Colciencias se inscribió en el concurso organizado por MinTIC "Máxima Velocidad Indigo 2016", concurso que premia el mejor equipo digital de Gobierno. Colciencias obtuvo el primer puesto en la categoría Entidades Nacionales, logrando un puntaje de 1266 puntos. En noviembre se llevó a cabo la auditoria de seguimiento al certificado de calidad ICONTEC, obteniendo como resultado satisfactorio la ratificación del certificado. 
Bajo la coordinación del equipo Calidad se logró ejecutar en un 100% el plan de racionalización de trámites de la Entidad adicionalmente se logró racionalizar el 76% de los requisitos de los trámites de Colciencias.
En el cumplimiento de GEL , el programa logra un 77% (dato aprox)de los requisitos gracias a los avances en la racionalización de los trámites, automatización de los trámites de beneficios tributarios,  su divulgación a través de la página WEB de Colciencias y el Sí Virtual y la formalización del Plan de Comunicaciones como estrategia de desarrollo de la comunicación interna y externa. Vale la pena resaltar que se identificó un error de digitación en la meta, de cumplimiento, en la medida que era cumplir 10 de 13 requisitos lo que equivale a 77% y no a 67% como aparece en el plan
</t>
  </si>
  <si>
    <t>Se mejoró la velocidad de respuesta de las operacones en el Módulo de Gestión de Información - MGI, impactando positivamente al optimizar los procesos a cargo del Fondo Francisco José de Caldas para atender los requerimientos de la entidad y sus beneficiarios en forma ágil y oportuna, reflejandose en una reducción del 272% de cumplimiento en la reducción de tiempos, requisitos o documentos (68% frente al 50% planteado para el procedimiento mencionado). Lo anterior también se debe a las las mejoras en los procedimientos, a la reducción en documentos, formatos y el control de los tiempos en la realización de todos los procesos.
Se revisaron, aclararon, verificaron, ajustaron y conciliaron los saldos de operación del Fondo Francisco José de Caldas dando cumplimiento al plan de trabajo establecido, teniendo como resultado un total de 85 convenios frente a lo inicialmente propuesto.</t>
  </si>
  <si>
    <t>El porcentaje de recursos ejecutados a través del Fondo Francisco José de Caldas (FFJC) por entidades aportantes diferentes a COLCIENCIAS con corte al 31 de diciembre de 2016 fue de 75.63%, cifra superior a la meta propuesta para este año, la cual era del 53%. La variación de recursos transferidos radica en aquellos transferidos en virtud de tres convenios celebrados en el mes de diciembre de 2016 con la ANH y Secretaria de Educación de Bogotá y en los traslados de recursos de los convenios con las gobernaciones de Santander y Atlántico.
De acuerdo con los resultados que se presentaron en 2016, se recomendó ajustar la meta para este indicador tanto en 2016 como para las vigencias 2017 y 2018.</t>
  </si>
  <si>
    <t xml:space="preserve">*** El dato reportado de becas esta en proceso de validación. </t>
  </si>
  <si>
    <t>En el primer trimestre, se generó un plan de gestión documental para la vigencia 2016, de acuerdo a las necesidades evidenciadas en materia de gestión documental, priorizando los instrumentos archivísticos básicos con los que debería contar la entidad. Se cumple el 60% de la implementación del programa, correspondiente a temas relacionados con la actualización de las Tablas de Retención Documental (TRD), la entrega de la historia institucional, el diagnóstico integral y la generación del plan de trabajo archivístico. Adicionalmente, se contrató al personal para las operatividad del grupo de gestión documental, se generaron lineamientos básicos para la conformación de expedientes, capacitaciones y se hicieron acompañamientos para la comunidad Colciencias en temas de conformación de archivos y gestión documental. 
El programa alcanza un total de 70% de cumplimiento de los requisitos de transparencia, asociado a gestiones para establecer lineamientos básicos en temas de gestión documental y la aprobación de las tablas de retención documental, como instrumento archivístico principal para la administración de los archivos de gestión de la entidad.</t>
  </si>
  <si>
    <t>1.819</t>
  </si>
  <si>
    <t>Última fecha de actualización: 20 de junio de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</si>
</sst>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9" x14ac:knownFonts="1">
    <font>
      <sz val="11"/>
      <color theme="1"/>
      <name val="Calibri"/>
      <family val="2"/>
      <scheme val="minor"/>
    </font>
    <font>
      <sz val="11"/>
      <color theme="1"/>
      <name val="Calibri"/>
      <family val="2"/>
      <scheme val="minor"/>
    </font>
    <font>
      <sz val="12"/>
      <color theme="1"/>
      <name val="Arial"/>
      <family val="2"/>
    </font>
    <font>
      <b/>
      <sz val="16"/>
      <color theme="1"/>
      <name val="Arial"/>
      <family val="2"/>
    </font>
    <font>
      <sz val="11"/>
      <name val="Arial"/>
      <family val="2"/>
    </font>
    <font>
      <b/>
      <sz val="14"/>
      <color theme="1"/>
      <name val="Arial"/>
      <family val="2"/>
    </font>
    <font>
      <sz val="14"/>
      <color theme="1"/>
      <name val="Arial"/>
      <family val="2"/>
    </font>
    <font>
      <b/>
      <sz val="11"/>
      <name val="Arial"/>
      <family val="2"/>
    </font>
    <font>
      <sz val="12"/>
      <name val="Arial"/>
      <family val="2"/>
    </font>
    <font>
      <sz val="11"/>
      <color theme="1"/>
      <name val="Arial"/>
      <family val="2"/>
    </font>
    <font>
      <b/>
      <sz val="11"/>
      <color theme="1"/>
      <name val="Arial"/>
      <family val="2"/>
    </font>
    <font>
      <b/>
      <sz val="16"/>
      <color theme="0"/>
      <name val="Arial"/>
      <family val="2"/>
    </font>
    <font>
      <b/>
      <sz val="14"/>
      <color theme="0"/>
      <name val="Arial"/>
      <family val="2"/>
    </font>
    <font>
      <sz val="10"/>
      <color theme="1"/>
      <name val="Arial"/>
      <family val="2"/>
    </font>
    <font>
      <sz val="10"/>
      <name val="Arial"/>
      <family val="2"/>
    </font>
    <font>
      <sz val="11"/>
      <name val="Calibri"/>
      <family val="2"/>
      <scheme val="minor"/>
    </font>
    <font>
      <sz val="12"/>
      <color rgb="FFFF0000"/>
      <name val="Arial"/>
      <family val="2"/>
    </font>
    <font>
      <sz val="10"/>
      <color rgb="FFFF0000"/>
      <name val="Arial"/>
      <family val="2"/>
    </font>
    <font>
      <b/>
      <sz val="12"/>
      <color theme="1"/>
      <name val="Arial Narrow"/>
      <family val="2"/>
    </font>
  </fonts>
  <fills count="5">
    <fill>
      <patternFill patternType="none"/>
    </fill>
    <fill>
      <patternFill patternType="gray125"/>
    </fill>
    <fill>
      <patternFill patternType="solid">
        <fgColor theme="0"/>
        <bgColor indexed="64"/>
      </patternFill>
    </fill>
    <fill>
      <patternFill patternType="solid">
        <fgColor rgb="FF00919B"/>
        <bgColor indexed="64"/>
      </patternFill>
    </fill>
    <fill>
      <patternFill patternType="solid">
        <fgColor rgb="FFC4BD97"/>
        <bgColor rgb="FF000000"/>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xf numFmtId="9" fontId="1" fillId="0" borderId="0" applyFont="0" applyFill="0" applyBorder="0" applyAlignment="0" applyProtection="0"/>
  </cellStyleXfs>
  <cellXfs count="131">
    <xf numFmtId="0" fontId="0" fillId="0" borderId="0" xfId="0"/>
    <xf numFmtId="0" fontId="4" fillId="2" borderId="1" xfId="0" applyFont="1" applyFill="1" applyBorder="1" applyAlignment="1">
      <alignment horizontal="center" vertical="center" wrapText="1"/>
    </xf>
    <xf numFmtId="0" fontId="2" fillId="2" borderId="0" xfId="0" applyFont="1" applyFill="1" applyAlignment="1">
      <alignment wrapText="1"/>
    </xf>
    <xf numFmtId="0" fontId="8" fillId="2" borderId="0" xfId="0" applyFont="1" applyFill="1" applyAlignment="1">
      <alignment wrapText="1"/>
    </xf>
    <xf numFmtId="0" fontId="9" fillId="2" borderId="1" xfId="0" applyFont="1" applyFill="1" applyBorder="1" applyAlignment="1">
      <alignment horizontal="center" vertical="center" wrapText="1"/>
    </xf>
    <xf numFmtId="0" fontId="8" fillId="2" borderId="0" xfId="0" applyFont="1" applyFill="1" applyAlignment="1">
      <alignment horizontal="left" vertical="center" wrapText="1"/>
    </xf>
    <xf numFmtId="0" fontId="8" fillId="2" borderId="0" xfId="0" applyNumberFormat="1" applyFont="1" applyFill="1" applyBorder="1" applyAlignment="1">
      <alignment wrapText="1"/>
    </xf>
    <xf numFmtId="0" fontId="12" fillId="3"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9" fontId="9" fillId="0" borderId="1" xfId="1" applyFont="1" applyFill="1" applyBorder="1" applyAlignment="1">
      <alignment horizontal="center" vertical="center" wrapText="1"/>
    </xf>
    <xf numFmtId="0" fontId="16" fillId="2" borderId="0" xfId="0" applyFont="1" applyFill="1" applyAlignment="1">
      <alignment wrapText="1"/>
    </xf>
    <xf numFmtId="0" fontId="9" fillId="0" borderId="1" xfId="0" applyFont="1" applyFill="1" applyBorder="1" applyAlignment="1">
      <alignment horizontal="center" vertical="center" wrapText="1"/>
    </xf>
    <xf numFmtId="49" fontId="14" fillId="2" borderId="1" xfId="0" applyNumberFormat="1" applyFont="1" applyFill="1" applyBorder="1" applyAlignment="1">
      <alignment horizontal="justify" vertical="center" wrapText="1"/>
    </xf>
    <xf numFmtId="3" fontId="9" fillId="0"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9" fontId="4" fillId="0" borderId="1" xfId="1" applyFont="1" applyFill="1" applyBorder="1" applyAlignment="1">
      <alignment horizontal="center" vertical="center" wrapText="1"/>
    </xf>
    <xf numFmtId="0" fontId="9" fillId="2" borderId="15"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4" fillId="0" borderId="15" xfId="0" applyFont="1" applyFill="1" applyBorder="1" applyAlignment="1">
      <alignment horizontal="center" vertical="center" wrapText="1"/>
    </xf>
    <xf numFmtId="9" fontId="9" fillId="0" borderId="15" xfId="1" applyFont="1" applyFill="1" applyBorder="1" applyAlignment="1">
      <alignment horizontal="center" vertical="center" wrapText="1"/>
    </xf>
    <xf numFmtId="0" fontId="9" fillId="2" borderId="13" xfId="0"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49" fontId="14" fillId="2" borderId="1" xfId="0" quotePrefix="1" applyNumberFormat="1" applyFont="1" applyFill="1" applyBorder="1" applyAlignment="1">
      <alignment horizontal="justify" vertical="center" wrapText="1"/>
    </xf>
    <xf numFmtId="49" fontId="14" fillId="0" borderId="1" xfId="0" applyNumberFormat="1" applyFont="1" applyFill="1" applyBorder="1" applyAlignment="1">
      <alignment horizontal="justify" vertical="center" wrapText="1"/>
    </xf>
    <xf numFmtId="10" fontId="9" fillId="0" borderId="1" xfId="0" applyNumberFormat="1" applyFont="1" applyFill="1" applyBorder="1" applyAlignment="1">
      <alignment horizontal="center" vertical="center" wrapText="1"/>
    </xf>
    <xf numFmtId="164" fontId="9" fillId="0" borderId="15" xfId="0" applyNumberFormat="1" applyFont="1" applyFill="1" applyBorder="1" applyAlignment="1">
      <alignment horizontal="center" vertical="center" wrapText="1"/>
    </xf>
    <xf numFmtId="9" fontId="9" fillId="0" borderId="15" xfId="0" applyNumberFormat="1"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0" fontId="17" fillId="2" borderId="0" xfId="0" applyFont="1" applyFill="1" applyAlignment="1">
      <alignment wrapText="1"/>
    </xf>
    <xf numFmtId="0" fontId="9" fillId="2" borderId="14" xfId="0" applyFont="1" applyFill="1" applyBorder="1" applyAlignment="1">
      <alignment horizontal="center" vertical="center" wrapText="1"/>
    </xf>
    <xf numFmtId="0" fontId="13" fillId="0" borderId="1" xfId="0" applyFont="1" applyFill="1" applyBorder="1" applyAlignment="1">
      <alignment horizontal="center" vertical="center" wrapText="1"/>
    </xf>
    <xf numFmtId="164" fontId="4" fillId="0" borderId="1" xfId="1" applyNumberFormat="1" applyFont="1" applyFill="1" applyBorder="1" applyAlignment="1">
      <alignment horizontal="center" vertical="center" wrapText="1"/>
    </xf>
    <xf numFmtId="49" fontId="14" fillId="2" borderId="15" xfId="0" applyNumberFormat="1" applyFont="1" applyFill="1" applyBorder="1" applyAlignment="1">
      <alignment horizontal="justify" vertical="center" wrapText="1"/>
    </xf>
    <xf numFmtId="0" fontId="0" fillId="2" borderId="18" xfId="0" applyFill="1" applyBorder="1"/>
    <xf numFmtId="0" fontId="0" fillId="2" borderId="19" xfId="0" applyFill="1" applyBorder="1"/>
    <xf numFmtId="0" fontId="0" fillId="2" borderId="20" xfId="0" applyFill="1" applyBorder="1"/>
    <xf numFmtId="0" fontId="0" fillId="2" borderId="21" xfId="0" applyFill="1" applyBorder="1"/>
    <xf numFmtId="0" fontId="0" fillId="2" borderId="0" xfId="0" applyFill="1" applyBorder="1"/>
    <xf numFmtId="0" fontId="0" fillId="2" borderId="22" xfId="0" applyFill="1" applyBorder="1"/>
    <xf numFmtId="0" fontId="0" fillId="2" borderId="23" xfId="0" applyFill="1" applyBorder="1"/>
    <xf numFmtId="0" fontId="0" fillId="2" borderId="24" xfId="0" applyFill="1" applyBorder="1"/>
    <xf numFmtId="0" fontId="0" fillId="2" borderId="25" xfId="0" applyFill="1" applyBorder="1"/>
    <xf numFmtId="49" fontId="14" fillId="0" borderId="15" xfId="0" applyNumberFormat="1" applyFont="1" applyFill="1" applyBorder="1" applyAlignment="1">
      <alignment horizontal="justify" vertical="center" wrapText="1"/>
    </xf>
    <xf numFmtId="0" fontId="9" fillId="0" borderId="15" xfId="0" applyFont="1" applyFill="1" applyBorder="1" applyAlignment="1">
      <alignment horizontal="center" vertical="center" wrapText="1"/>
    </xf>
    <xf numFmtId="9" fontId="9" fillId="0" borderId="15" xfId="1" applyFont="1" applyFill="1" applyBorder="1" applyAlignment="1">
      <alignment horizontal="center" vertical="center" wrapText="1"/>
    </xf>
    <xf numFmtId="0" fontId="13" fillId="0" borderId="15" xfId="0" applyFont="1" applyFill="1" applyBorder="1" applyAlignment="1">
      <alignment horizontal="center" vertical="center" wrapText="1"/>
    </xf>
    <xf numFmtId="49" fontId="14" fillId="0" borderId="15" xfId="0" quotePrefix="1" applyNumberFormat="1" applyFont="1" applyFill="1" applyBorder="1" applyAlignment="1">
      <alignment horizontal="justify" vertical="center" wrapText="1"/>
    </xf>
    <xf numFmtId="164" fontId="9" fillId="2" borderId="1" xfId="1" applyNumberFormat="1" applyFont="1" applyFill="1" applyBorder="1" applyAlignment="1">
      <alignment horizontal="center" vertical="center" wrapText="1"/>
    </xf>
    <xf numFmtId="9" fontId="9" fillId="2" borderId="1" xfId="1" applyFont="1" applyFill="1" applyBorder="1" applyAlignment="1">
      <alignment horizontal="center" vertical="center" wrapText="1"/>
    </xf>
    <xf numFmtId="9" fontId="9" fillId="2" borderId="1" xfId="0" applyNumberFormat="1" applyFont="1" applyFill="1" applyBorder="1" applyAlignment="1">
      <alignment horizontal="center" vertical="center" wrapText="1"/>
    </xf>
    <xf numFmtId="0" fontId="18" fillId="0" borderId="21" xfId="0" applyFont="1" applyFill="1" applyBorder="1" applyAlignment="1">
      <alignment horizontal="right"/>
    </xf>
    <xf numFmtId="0" fontId="18" fillId="0" borderId="0" xfId="0" applyFont="1" applyFill="1" applyBorder="1" applyAlignment="1">
      <alignment horizontal="right"/>
    </xf>
    <xf numFmtId="0" fontId="18" fillId="0" borderId="22" xfId="0" applyFont="1" applyFill="1" applyBorder="1" applyAlignment="1">
      <alignment horizontal="right"/>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wrapText="1"/>
    </xf>
    <xf numFmtId="49" fontId="14" fillId="2" borderId="13" xfId="0" applyNumberFormat="1" applyFont="1" applyFill="1" applyBorder="1" applyAlignment="1">
      <alignment horizontal="justify" vertical="center" wrapText="1"/>
    </xf>
    <xf numFmtId="49" fontId="14" fillId="2" borderId="14" xfId="0" applyNumberFormat="1" applyFont="1" applyFill="1" applyBorder="1" applyAlignment="1">
      <alignment horizontal="justify" vertical="center" wrapText="1"/>
    </xf>
    <xf numFmtId="49" fontId="14" fillId="2" borderId="15" xfId="0" applyNumberFormat="1" applyFont="1" applyFill="1" applyBorder="1" applyAlignment="1">
      <alignment horizontal="justify" vertical="center" wrapText="1"/>
    </xf>
    <xf numFmtId="9" fontId="9" fillId="0" borderId="13" xfId="1" applyFont="1" applyFill="1" applyBorder="1" applyAlignment="1">
      <alignment horizontal="center" vertical="center" wrapText="1"/>
    </xf>
    <xf numFmtId="9" fontId="9" fillId="0" borderId="14" xfId="1" applyFont="1" applyFill="1" applyBorder="1" applyAlignment="1">
      <alignment horizontal="center" vertical="center" wrapText="1"/>
    </xf>
    <xf numFmtId="9" fontId="9" fillId="0" borderId="15" xfId="1" applyFont="1" applyFill="1" applyBorder="1" applyAlignment="1">
      <alignment horizontal="center" vertical="center" wrapText="1"/>
    </xf>
    <xf numFmtId="0" fontId="2" fillId="2" borderId="0" xfId="0" applyFont="1" applyFill="1" applyAlignment="1">
      <alignment horizontal="left" vertical="center" wrapText="1"/>
    </xf>
    <xf numFmtId="0" fontId="13" fillId="0" borderId="13" xfId="0" applyFont="1" applyFill="1" applyBorder="1" applyAlignment="1">
      <alignment horizontal="center" vertical="center" wrapText="1"/>
    </xf>
    <xf numFmtId="0" fontId="13" fillId="0" borderId="15" xfId="0" applyFont="1" applyFill="1" applyBorder="1" applyAlignment="1">
      <alignment horizontal="center" vertical="center" wrapText="1"/>
    </xf>
    <xf numFmtId="3" fontId="9" fillId="0" borderId="13" xfId="0" applyNumberFormat="1" applyFont="1" applyFill="1" applyBorder="1" applyAlignment="1">
      <alignment horizontal="center" vertical="center" wrapText="1"/>
    </xf>
    <xf numFmtId="3" fontId="9" fillId="0" borderId="15" xfId="0" applyNumberFormat="1" applyFont="1" applyFill="1" applyBorder="1" applyAlignment="1">
      <alignment horizontal="center" vertical="center" wrapText="1"/>
    </xf>
    <xf numFmtId="49" fontId="14" fillId="0" borderId="13" xfId="0" applyNumberFormat="1" applyFont="1" applyFill="1" applyBorder="1" applyAlignment="1">
      <alignment horizontal="justify" vertical="center" wrapText="1"/>
    </xf>
    <xf numFmtId="49" fontId="14" fillId="0" borderId="14" xfId="0" applyNumberFormat="1" applyFont="1" applyFill="1" applyBorder="1" applyAlignment="1">
      <alignment horizontal="justify" vertical="center" wrapText="1"/>
    </xf>
    <xf numFmtId="49" fontId="14" fillId="0" borderId="15" xfId="0" applyNumberFormat="1" applyFont="1" applyFill="1" applyBorder="1" applyAlignment="1">
      <alignment horizontal="justify" vertical="center" wrapText="1"/>
    </xf>
    <xf numFmtId="10" fontId="9" fillId="0" borderId="13" xfId="0" applyNumberFormat="1" applyFont="1" applyFill="1" applyBorder="1" applyAlignment="1">
      <alignment horizontal="center" vertical="center" wrapText="1"/>
    </xf>
    <xf numFmtId="10" fontId="9" fillId="0" borderId="14" xfId="0" applyNumberFormat="1" applyFont="1" applyFill="1" applyBorder="1" applyAlignment="1">
      <alignment horizontal="center" vertical="center" wrapText="1"/>
    </xf>
    <xf numFmtId="10" fontId="9" fillId="0" borderId="15"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9" fillId="0" borderId="17" xfId="0" applyFont="1" applyFill="1" applyBorder="1" applyAlignment="1">
      <alignment horizontal="center" vertical="center" wrapText="1"/>
    </xf>
    <xf numFmtId="9" fontId="9" fillId="0" borderId="17" xfId="1"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9" fillId="0" borderId="16" xfId="0" applyFont="1" applyFill="1" applyBorder="1" applyAlignment="1">
      <alignment horizontal="center" vertical="center" wrapText="1"/>
    </xf>
    <xf numFmtId="3" fontId="9" fillId="0" borderId="14" xfId="0" applyNumberFormat="1" applyFont="1" applyFill="1" applyBorder="1" applyAlignment="1">
      <alignment horizontal="center" vertical="center" wrapText="1"/>
    </xf>
    <xf numFmtId="3" fontId="4" fillId="0" borderId="13" xfId="0" applyNumberFormat="1" applyFont="1" applyFill="1" applyBorder="1" applyAlignment="1">
      <alignment horizontal="center" vertical="center" wrapText="1"/>
    </xf>
    <xf numFmtId="3" fontId="4" fillId="0" borderId="14" xfId="0" applyNumberFormat="1" applyFont="1" applyFill="1" applyBorder="1" applyAlignment="1">
      <alignment horizontal="center" vertical="center" wrapText="1"/>
    </xf>
    <xf numFmtId="3" fontId="4" fillId="0" borderId="15" xfId="0" applyNumberFormat="1" applyFont="1" applyFill="1" applyBorder="1" applyAlignment="1">
      <alignment horizontal="center" vertical="center" wrapText="1"/>
    </xf>
    <xf numFmtId="9" fontId="4" fillId="0" borderId="13" xfId="1" applyFont="1" applyFill="1" applyBorder="1" applyAlignment="1">
      <alignment horizontal="center" vertical="center" wrapText="1"/>
    </xf>
    <xf numFmtId="9" fontId="4" fillId="0" borderId="14" xfId="1" applyFont="1" applyFill="1" applyBorder="1" applyAlignment="1">
      <alignment horizontal="center" vertical="center" wrapText="1"/>
    </xf>
    <xf numFmtId="9" fontId="4" fillId="0" borderId="15" xfId="1"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15" xfId="0" applyBorder="1" applyAlignment="1">
      <alignment horizontal="center" vertical="center" wrapText="1"/>
    </xf>
    <xf numFmtId="0" fontId="14" fillId="2" borderId="13" xfId="0" applyFont="1" applyFill="1" applyBorder="1" applyAlignment="1">
      <alignment horizontal="justify" vertical="center" wrapText="1"/>
    </xf>
    <xf numFmtId="0" fontId="14" fillId="2" borderId="15" xfId="0" applyFont="1" applyFill="1" applyBorder="1" applyAlignment="1">
      <alignment horizontal="justify" vertical="center" wrapText="1"/>
    </xf>
    <xf numFmtId="164" fontId="9" fillId="0" borderId="13" xfId="1" applyNumberFormat="1" applyFont="1" applyFill="1" applyBorder="1" applyAlignment="1">
      <alignment horizontal="center" vertical="center" wrapText="1"/>
    </xf>
    <xf numFmtId="164" fontId="9" fillId="0" borderId="14" xfId="1" applyNumberFormat="1" applyFont="1" applyFill="1" applyBorder="1" applyAlignment="1">
      <alignment horizontal="center" vertical="center" wrapText="1"/>
    </xf>
    <xf numFmtId="164" fontId="9" fillId="0" borderId="15" xfId="1" applyNumberFormat="1" applyFont="1" applyFill="1" applyBorder="1" applyAlignment="1">
      <alignment horizontal="center" vertical="center" wrapText="1"/>
    </xf>
    <xf numFmtId="3" fontId="4" fillId="0" borderId="13" xfId="0" quotePrefix="1" applyNumberFormat="1" applyFont="1" applyFill="1" applyBorder="1" applyAlignment="1">
      <alignment horizontal="center" vertical="center" wrapText="1"/>
    </xf>
    <xf numFmtId="9" fontId="4" fillId="0" borderId="13" xfId="1" quotePrefix="1" applyFont="1" applyFill="1" applyBorder="1" applyAlignment="1">
      <alignment horizontal="center" vertical="center" wrapText="1"/>
    </xf>
    <xf numFmtId="0" fontId="2" fillId="2" borderId="0" xfId="0" applyFont="1" applyFill="1" applyAlignment="1">
      <alignment horizontal="left" wrapText="1"/>
    </xf>
    <xf numFmtId="0" fontId="2" fillId="2" borderId="1" xfId="0" applyFont="1" applyFill="1" applyBorder="1" applyAlignment="1">
      <alignment horizont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0" fillId="0" borderId="0" xfId="0" applyBorder="1" applyAlignment="1">
      <alignment horizontal="center" wrapText="1"/>
    </xf>
    <xf numFmtId="0" fontId="0" fillId="0" borderId="0" xfId="0"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11" fillId="0" borderId="0"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2" fillId="3" borderId="1" xfId="0" applyNumberFormat="1" applyFont="1" applyFill="1" applyBorder="1" applyAlignment="1">
      <alignment horizontal="center" vertical="center" wrapText="1"/>
    </xf>
    <xf numFmtId="0" fontId="12" fillId="3" borderId="10" xfId="0" applyNumberFormat="1" applyFont="1" applyFill="1" applyBorder="1" applyAlignment="1">
      <alignment horizontal="center" vertical="center" wrapText="1"/>
    </xf>
    <xf numFmtId="0" fontId="12" fillId="3" borderId="11" xfId="0" applyNumberFormat="1" applyFont="1" applyFill="1" applyBorder="1" applyAlignment="1">
      <alignment horizontal="center" vertical="center" wrapText="1"/>
    </xf>
    <xf numFmtId="0" fontId="12" fillId="3" borderId="12"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0" fontId="15" fillId="0" borderId="15"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4</xdr:col>
      <xdr:colOff>695325</xdr:colOff>
      <xdr:row>42</xdr:row>
      <xdr:rowOff>133350</xdr:rowOff>
    </xdr:from>
    <xdr:ext cx="76200" cy="438150"/>
    <xdr:sp macro="" textlink="">
      <xdr:nvSpPr>
        <xdr:cNvPr id="2" name="Text Box 5"/>
        <xdr:cNvSpPr txBox="1">
          <a:spLocks noChangeArrowheads="1"/>
        </xdr:cNvSpPr>
      </xdr:nvSpPr>
      <xdr:spPr bwMode="auto">
        <a:xfrm>
          <a:off x="3743325" y="9553575"/>
          <a:ext cx="76200" cy="438150"/>
        </a:xfrm>
        <a:prstGeom prst="rect">
          <a:avLst/>
        </a:prstGeom>
        <a:solidFill>
          <a:srgbClr val="FFFFFF"/>
        </a:solidFill>
        <a:ln w="9525">
          <a:noFill/>
          <a:miter lim="800000"/>
          <a:headEnd/>
          <a:tailEnd/>
        </a:ln>
      </xdr:spPr>
      <xdr:txBody>
        <a:bodyPr wrap="none" lIns="91440" tIns="45720" rIns="91440" bIns="45720" anchor="t" upright="1">
          <a:spAutoFit/>
        </a:bodyPr>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oneCellAnchor>
  <xdr:twoCellAnchor>
    <xdr:from>
      <xdr:col>0</xdr:col>
      <xdr:colOff>115981</xdr:colOff>
      <xdr:row>15</xdr:row>
      <xdr:rowOff>173131</xdr:rowOff>
    </xdr:from>
    <xdr:to>
      <xdr:col>8</xdr:col>
      <xdr:colOff>725714</xdr:colOff>
      <xdr:row>29</xdr:row>
      <xdr:rowOff>87312</xdr:rowOff>
    </xdr:to>
    <xdr:sp macro="" textlink="">
      <xdr:nvSpPr>
        <xdr:cNvPr id="3" name="Rectangle 11"/>
        <xdr:cNvSpPr>
          <a:spLocks noChangeArrowheads="1"/>
        </xdr:cNvSpPr>
      </xdr:nvSpPr>
      <xdr:spPr bwMode="auto">
        <a:xfrm>
          <a:off x="115981" y="3640231"/>
          <a:ext cx="6705733" cy="2581181"/>
        </a:xfrm>
        <a:prstGeom prst="rect">
          <a:avLst/>
        </a:prstGeom>
        <a:noFill/>
        <a:ln w="38100">
          <a:noFill/>
          <a:miter lim="800000"/>
          <a:headEnd/>
          <a:tailEnd/>
        </a:ln>
        <a:effectLst>
          <a:outerShdw dist="28398" dir="3806097" algn="ctr" rotWithShape="0">
            <a:srgbClr val="7F7F7F">
              <a:alpha val="50000"/>
            </a:srgbClr>
          </a:outerShdw>
        </a:effectLst>
      </xdr:spPr>
      <xdr:txBody>
        <a:bodyPr vertOverflow="clip" wrap="square" lIns="91440" tIns="45720" rIns="91440" bIns="45720" anchor="t" upright="1"/>
        <a:lstStyle/>
        <a:p>
          <a:pPr algn="ctr" rtl="0">
            <a:defRPr sz="1000"/>
          </a:pPr>
          <a:endParaRPr lang="en-US" sz="2400" b="0" i="0" u="none" strike="noStrike" baseline="0">
            <a:solidFill>
              <a:sysClr val="windowText" lastClr="000000"/>
            </a:solidFill>
            <a:latin typeface="Arial Narrow"/>
          </a:endParaRPr>
        </a:p>
        <a:p>
          <a:pPr algn="ctr" rtl="0">
            <a:defRPr sz="1000"/>
          </a:pPr>
          <a:endParaRPr lang="en-US" sz="2400" b="1" i="0" u="none" strike="noStrike" baseline="0">
            <a:solidFill>
              <a:sysClr val="windowText" lastClr="000000"/>
            </a:solidFill>
            <a:latin typeface="Arial Narrow"/>
          </a:endParaRPr>
        </a:p>
        <a:p>
          <a:pPr algn="ctr" rtl="0">
            <a:defRPr sz="1000"/>
          </a:pPr>
          <a:endParaRPr lang="en-US" sz="2400" b="1" i="0" u="none" strike="noStrike" baseline="0">
            <a:solidFill>
              <a:sysClr val="windowText" lastClr="000000"/>
            </a:solidFill>
            <a:latin typeface="Arial Narrow"/>
          </a:endParaRPr>
        </a:p>
        <a:p>
          <a:pPr algn="ctr" rtl="0">
            <a:defRPr sz="1000"/>
          </a:pPr>
          <a:r>
            <a:rPr lang="en-US" sz="2400" b="1" i="0" u="none" strike="noStrike" baseline="0">
              <a:solidFill>
                <a:sysClr val="windowText" lastClr="000000"/>
              </a:solidFill>
              <a:latin typeface="Arial Narrow"/>
            </a:rPr>
            <a:t>SEGUIMIENTO AL PLAN DE ACCIÓN 2016</a:t>
          </a:r>
        </a:p>
        <a:p>
          <a:pPr algn="ctr" rtl="0">
            <a:defRPr sz="1000"/>
          </a:pPr>
          <a:r>
            <a:rPr lang="en-US" sz="2400" b="1" i="0" u="none" strike="noStrike" baseline="0">
              <a:solidFill>
                <a:sysClr val="windowText" lastClr="000000"/>
              </a:solidFill>
              <a:effectLst/>
              <a:latin typeface="Arial Narrow"/>
              <a:ea typeface="+mn-ea"/>
              <a:cs typeface="+mn-cs"/>
            </a:rPr>
            <a:t>Corte a 31 de Diciembre</a:t>
          </a:r>
          <a:endParaRPr lang="en-US" sz="2400" b="0" i="0" u="none" strike="noStrike" baseline="0">
            <a:solidFill>
              <a:sysClr val="windowText" lastClr="000000"/>
            </a:solidFill>
            <a:latin typeface="Arial Narrow"/>
          </a:endParaRPr>
        </a:p>
      </xdr:txBody>
    </xdr:sp>
    <xdr:clientData/>
  </xdr:twoCellAnchor>
  <xdr:twoCellAnchor editAs="oneCell">
    <xdr:from>
      <xdr:col>0</xdr:col>
      <xdr:colOff>40822</xdr:colOff>
      <xdr:row>2</xdr:row>
      <xdr:rowOff>0</xdr:rowOff>
    </xdr:from>
    <xdr:to>
      <xdr:col>8</xdr:col>
      <xdr:colOff>734786</xdr:colOff>
      <xdr:row>14</xdr:row>
      <xdr:rowOff>84667</xdr:rowOff>
    </xdr:to>
    <xdr:pic>
      <xdr:nvPicPr>
        <xdr:cNvPr id="4" name="11 Imagen" descr="graficacion-01.png"/>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7831" r="17670" b="58277"/>
        <a:stretch/>
      </xdr:blipFill>
      <xdr:spPr>
        <a:xfrm>
          <a:off x="40822" y="638175"/>
          <a:ext cx="6789964" cy="2370667"/>
        </a:xfrm>
        <a:prstGeom prst="rect">
          <a:avLst/>
        </a:prstGeom>
      </xdr:spPr>
    </xdr:pic>
    <xdr:clientData/>
  </xdr:twoCellAnchor>
  <xdr:twoCellAnchor editAs="oneCell">
    <xdr:from>
      <xdr:col>0</xdr:col>
      <xdr:colOff>193221</xdr:colOff>
      <xdr:row>36</xdr:row>
      <xdr:rowOff>117516</xdr:rowOff>
    </xdr:from>
    <xdr:to>
      <xdr:col>8</xdr:col>
      <xdr:colOff>640896</xdr:colOff>
      <xdr:row>45</xdr:row>
      <xdr:rowOff>92116</xdr:rowOff>
    </xdr:to>
    <xdr:pic>
      <xdr:nvPicPr>
        <xdr:cNvPr id="5" name="12 Imagen" descr="graficacion-01.png"/>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199" t="78611" r="24102"/>
        <a:stretch/>
      </xdr:blipFill>
      <xdr:spPr>
        <a:xfrm>
          <a:off x="193221" y="8283039"/>
          <a:ext cx="6543675" cy="18276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723900</xdr:colOff>
      <xdr:row>0</xdr:row>
      <xdr:rowOff>47933</xdr:rowOff>
    </xdr:from>
    <xdr:to>
      <xdr:col>2</xdr:col>
      <xdr:colOff>581025</xdr:colOff>
      <xdr:row>2</xdr:row>
      <xdr:rowOff>109916</xdr:rowOff>
    </xdr:to>
    <xdr:pic>
      <xdr:nvPicPr>
        <xdr:cNvPr id="2" name="Imagen 1" descr="Departamento Administrativo de Ciencia, Tecnología e Innovación. COLCIENCIA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 y="47933"/>
          <a:ext cx="2778125" cy="6779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723900</xdr:colOff>
      <xdr:row>0</xdr:row>
      <xdr:rowOff>47933</xdr:rowOff>
    </xdr:from>
    <xdr:to>
      <xdr:col>2</xdr:col>
      <xdr:colOff>581025</xdr:colOff>
      <xdr:row>2</xdr:row>
      <xdr:rowOff>109916</xdr:rowOff>
    </xdr:to>
    <xdr:pic>
      <xdr:nvPicPr>
        <xdr:cNvPr id="3" name="Imagen 2" descr="Departamento Administrativo de Ciencia, Tecnología e Innovación. COLCIENCIA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 y="47933"/>
          <a:ext cx="2778125" cy="6779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tabSelected="1" topLeftCell="A30" zoomScale="110" zoomScaleNormal="110" workbookViewId="0">
      <selection activeCell="A37" sqref="A37"/>
    </sheetView>
  </sheetViews>
  <sheetFormatPr baseColWidth="10" defaultRowHeight="15" x14ac:dyDescent="0.25"/>
  <sheetData>
    <row r="1" spans="1:9" x14ac:dyDescent="0.25">
      <c r="A1" s="36"/>
      <c r="B1" s="37"/>
      <c r="C1" s="37"/>
      <c r="D1" s="37"/>
      <c r="E1" s="37"/>
      <c r="F1" s="37"/>
      <c r="G1" s="37"/>
      <c r="H1" s="37"/>
      <c r="I1" s="38"/>
    </row>
    <row r="2" spans="1:9" ht="35.25" customHeight="1" x14ac:dyDescent="0.25">
      <c r="A2" s="39"/>
      <c r="B2" s="40"/>
      <c r="C2" s="40"/>
      <c r="D2" s="40"/>
      <c r="E2" s="40"/>
      <c r="F2" s="40"/>
      <c r="G2" s="40"/>
      <c r="H2" s="40"/>
      <c r="I2" s="41"/>
    </row>
    <row r="3" spans="1:9" x14ac:dyDescent="0.25">
      <c r="A3" s="39"/>
      <c r="B3" s="40"/>
      <c r="C3" s="40"/>
      <c r="D3" s="40"/>
      <c r="E3" s="40"/>
      <c r="F3" s="40"/>
      <c r="G3" s="40"/>
      <c r="H3" s="40"/>
      <c r="I3" s="41"/>
    </row>
    <row r="4" spans="1:9" x14ac:dyDescent="0.25">
      <c r="A4" s="39"/>
      <c r="B4" s="40"/>
      <c r="C4" s="40"/>
      <c r="D4" s="40"/>
      <c r="E4" s="40"/>
      <c r="F4" s="40"/>
      <c r="G4" s="40"/>
      <c r="H4" s="40"/>
      <c r="I4" s="41"/>
    </row>
    <row r="5" spans="1:9" x14ac:dyDescent="0.25">
      <c r="A5" s="39"/>
      <c r="B5" s="40"/>
      <c r="C5" s="40"/>
      <c r="D5" s="40"/>
      <c r="E5" s="40"/>
      <c r="F5" s="40"/>
      <c r="G5" s="40"/>
      <c r="H5" s="40"/>
      <c r="I5" s="41"/>
    </row>
    <row r="6" spans="1:9" x14ac:dyDescent="0.25">
      <c r="A6" s="39"/>
      <c r="B6" s="40"/>
      <c r="C6" s="40"/>
      <c r="D6" s="40"/>
      <c r="E6" s="40"/>
      <c r="F6" s="40"/>
      <c r="G6" s="40"/>
      <c r="H6" s="40"/>
      <c r="I6" s="41"/>
    </row>
    <row r="7" spans="1:9" x14ac:dyDescent="0.25">
      <c r="A7" s="39"/>
      <c r="B7" s="40"/>
      <c r="C7" s="40"/>
      <c r="D7" s="40"/>
      <c r="E7" s="40"/>
      <c r="F7" s="40"/>
      <c r="G7" s="40"/>
      <c r="H7" s="40"/>
      <c r="I7" s="41"/>
    </row>
    <row r="8" spans="1:9" x14ac:dyDescent="0.25">
      <c r="A8" s="39"/>
      <c r="B8" s="40"/>
      <c r="C8" s="40"/>
      <c r="D8" s="40"/>
      <c r="E8" s="40"/>
      <c r="F8" s="40"/>
      <c r="G8" s="40"/>
      <c r="H8" s="40"/>
      <c r="I8" s="41"/>
    </row>
    <row r="9" spans="1:9" x14ac:dyDescent="0.25">
      <c r="A9" s="39"/>
      <c r="B9" s="40"/>
      <c r="C9" s="40"/>
      <c r="D9" s="40"/>
      <c r="E9" s="40"/>
      <c r="F9" s="40"/>
      <c r="G9" s="40"/>
      <c r="H9" s="40"/>
      <c r="I9" s="41"/>
    </row>
    <row r="10" spans="1:9" x14ac:dyDescent="0.25">
      <c r="A10" s="39"/>
      <c r="B10" s="40"/>
      <c r="C10" s="40"/>
      <c r="D10" s="40"/>
      <c r="E10" s="40"/>
      <c r="F10" s="40"/>
      <c r="G10" s="40"/>
      <c r="H10" s="40"/>
      <c r="I10" s="41"/>
    </row>
    <row r="11" spans="1:9" x14ac:dyDescent="0.25">
      <c r="A11" s="39"/>
      <c r="B11" s="40"/>
      <c r="C11" s="40"/>
      <c r="D11" s="40"/>
      <c r="E11" s="40"/>
      <c r="F11" s="40"/>
      <c r="G11" s="40"/>
      <c r="H11" s="40"/>
      <c r="I11" s="41"/>
    </row>
    <row r="12" spans="1:9" x14ac:dyDescent="0.25">
      <c r="A12" s="39"/>
      <c r="B12" s="40"/>
      <c r="C12" s="40"/>
      <c r="D12" s="40"/>
      <c r="E12" s="40"/>
      <c r="F12" s="40"/>
      <c r="G12" s="40"/>
      <c r="H12" s="40"/>
      <c r="I12" s="41"/>
    </row>
    <row r="13" spans="1:9" x14ac:dyDescent="0.25">
      <c r="A13" s="39"/>
      <c r="B13" s="40"/>
      <c r="C13" s="40"/>
      <c r="D13" s="40"/>
      <c r="E13" s="40"/>
      <c r="F13" s="40"/>
      <c r="G13" s="40"/>
      <c r="H13" s="40"/>
      <c r="I13" s="41"/>
    </row>
    <row r="14" spans="1:9" x14ac:dyDescent="0.25">
      <c r="A14" s="39"/>
      <c r="B14" s="40"/>
      <c r="C14" s="40"/>
      <c r="D14" s="40"/>
      <c r="E14" s="40"/>
      <c r="F14" s="40"/>
      <c r="G14" s="40"/>
      <c r="H14" s="40"/>
      <c r="I14" s="41"/>
    </row>
    <row r="15" spans="1:9" ht="42.75" customHeight="1" x14ac:dyDescent="0.25">
      <c r="A15" s="39"/>
      <c r="B15" s="40"/>
      <c r="C15" s="40"/>
      <c r="D15" s="40"/>
      <c r="E15" s="40"/>
      <c r="F15" s="40"/>
      <c r="G15" s="40"/>
      <c r="H15" s="40"/>
      <c r="I15" s="41"/>
    </row>
    <row r="16" spans="1:9" x14ac:dyDescent="0.25">
      <c r="A16" s="39"/>
      <c r="B16" s="40"/>
      <c r="C16" s="40"/>
      <c r="D16" s="40"/>
      <c r="E16" s="40"/>
      <c r="F16" s="40"/>
      <c r="G16" s="40"/>
      <c r="H16" s="40"/>
      <c r="I16" s="41"/>
    </row>
    <row r="17" spans="1:9" x14ac:dyDescent="0.25">
      <c r="A17" s="39"/>
      <c r="B17" s="40"/>
      <c r="C17" s="40"/>
      <c r="D17" s="40"/>
      <c r="E17" s="40"/>
      <c r="F17" s="40"/>
      <c r="G17" s="40"/>
      <c r="H17" s="40"/>
      <c r="I17" s="41"/>
    </row>
    <row r="18" spans="1:9" x14ac:dyDescent="0.25">
      <c r="A18" s="39"/>
      <c r="B18" s="40"/>
      <c r="C18" s="40"/>
      <c r="D18" s="40"/>
      <c r="E18" s="40"/>
      <c r="F18" s="40"/>
      <c r="G18" s="40"/>
      <c r="H18" s="40"/>
      <c r="I18" s="41"/>
    </row>
    <row r="19" spans="1:9" x14ac:dyDescent="0.25">
      <c r="A19" s="39"/>
      <c r="B19" s="40"/>
      <c r="C19" s="40"/>
      <c r="D19" s="40"/>
      <c r="E19" s="40"/>
      <c r="F19" s="40"/>
      <c r="G19" s="40"/>
      <c r="H19" s="40"/>
      <c r="I19" s="41"/>
    </row>
    <row r="20" spans="1:9" x14ac:dyDescent="0.25">
      <c r="A20" s="39"/>
      <c r="B20" s="40"/>
      <c r="C20" s="40"/>
      <c r="D20" s="40"/>
      <c r="E20" s="40"/>
      <c r="F20" s="40"/>
      <c r="G20" s="40"/>
      <c r="H20" s="40"/>
      <c r="I20" s="41"/>
    </row>
    <row r="21" spans="1:9" x14ac:dyDescent="0.25">
      <c r="A21" s="39"/>
      <c r="B21" s="40"/>
      <c r="C21" s="40"/>
      <c r="D21" s="40"/>
      <c r="E21" s="40"/>
      <c r="F21" s="40"/>
      <c r="G21" s="40"/>
      <c r="H21" s="40"/>
      <c r="I21" s="41"/>
    </row>
    <row r="22" spans="1:9" x14ac:dyDescent="0.25">
      <c r="A22" s="39"/>
      <c r="B22" s="40"/>
      <c r="C22" s="40"/>
      <c r="D22" s="40"/>
      <c r="E22" s="40"/>
      <c r="F22" s="40"/>
      <c r="G22" s="40"/>
      <c r="H22" s="40"/>
      <c r="I22" s="41"/>
    </row>
    <row r="23" spans="1:9" x14ac:dyDescent="0.25">
      <c r="A23" s="39"/>
      <c r="B23" s="40"/>
      <c r="C23" s="40"/>
      <c r="D23" s="40"/>
      <c r="E23" s="40"/>
      <c r="F23" s="40"/>
      <c r="G23" s="40"/>
      <c r="H23" s="40"/>
      <c r="I23" s="41"/>
    </row>
    <row r="24" spans="1:9" x14ac:dyDescent="0.25">
      <c r="A24" s="39"/>
      <c r="B24" s="40"/>
      <c r="C24" s="40"/>
      <c r="D24" s="40"/>
      <c r="E24" s="40"/>
      <c r="F24" s="40"/>
      <c r="G24" s="40"/>
      <c r="H24" s="40"/>
      <c r="I24" s="41"/>
    </row>
    <row r="25" spans="1:9" x14ac:dyDescent="0.25">
      <c r="A25" s="39"/>
      <c r="B25" s="40"/>
      <c r="C25" s="40"/>
      <c r="D25" s="40"/>
      <c r="E25" s="40"/>
      <c r="F25" s="40"/>
      <c r="G25" s="40"/>
      <c r="H25" s="40"/>
      <c r="I25" s="41"/>
    </row>
    <row r="26" spans="1:9" x14ac:dyDescent="0.25">
      <c r="A26" s="39"/>
      <c r="B26" s="40"/>
      <c r="C26" s="40"/>
      <c r="D26" s="40"/>
      <c r="E26" s="40"/>
      <c r="F26" s="40"/>
      <c r="G26" s="40"/>
      <c r="H26" s="40"/>
      <c r="I26" s="41"/>
    </row>
    <row r="27" spans="1:9" x14ac:dyDescent="0.25">
      <c r="A27" s="39"/>
      <c r="B27" s="40"/>
      <c r="C27" s="40"/>
      <c r="D27" s="40"/>
      <c r="E27" s="40"/>
      <c r="F27" s="40"/>
      <c r="G27" s="40"/>
      <c r="H27" s="40"/>
      <c r="I27" s="41"/>
    </row>
    <row r="28" spans="1:9" x14ac:dyDescent="0.25">
      <c r="A28" s="39"/>
      <c r="B28" s="40"/>
      <c r="C28" s="40"/>
      <c r="D28" s="40"/>
      <c r="E28" s="40"/>
      <c r="F28" s="40"/>
      <c r="G28" s="40"/>
      <c r="H28" s="40"/>
      <c r="I28" s="41"/>
    </row>
    <row r="29" spans="1:9" x14ac:dyDescent="0.25">
      <c r="A29" s="39"/>
      <c r="B29" s="40"/>
      <c r="C29" s="40"/>
      <c r="D29" s="40"/>
      <c r="E29" s="40"/>
      <c r="F29" s="40"/>
      <c r="G29" s="40"/>
      <c r="H29" s="40"/>
      <c r="I29" s="41"/>
    </row>
    <row r="30" spans="1:9" ht="42" customHeight="1" x14ac:dyDescent="0.25">
      <c r="A30" s="39"/>
      <c r="B30" s="40"/>
      <c r="C30" s="40"/>
      <c r="D30" s="40"/>
      <c r="E30" s="40"/>
      <c r="F30" s="40"/>
      <c r="G30" s="40"/>
      <c r="H30" s="40"/>
      <c r="I30" s="41"/>
    </row>
    <row r="31" spans="1:9" x14ac:dyDescent="0.25">
      <c r="A31" s="39"/>
      <c r="B31" s="40"/>
      <c r="C31" s="40"/>
      <c r="D31" s="40"/>
      <c r="E31" s="40"/>
      <c r="F31" s="40"/>
      <c r="G31" s="40"/>
      <c r="H31" s="40"/>
      <c r="I31" s="41"/>
    </row>
    <row r="32" spans="1:9" ht="20.25" customHeight="1" x14ac:dyDescent="0.25">
      <c r="A32" s="39"/>
      <c r="B32" s="40"/>
      <c r="C32" s="40"/>
      <c r="D32" s="40"/>
      <c r="E32" s="40"/>
      <c r="F32" s="40"/>
      <c r="G32" s="40"/>
      <c r="H32" s="40"/>
      <c r="I32" s="41"/>
    </row>
    <row r="33" spans="1:9" ht="20.25" customHeight="1" x14ac:dyDescent="0.25">
      <c r="A33" s="39"/>
      <c r="B33" s="40"/>
      <c r="C33" s="40"/>
      <c r="D33" s="40"/>
      <c r="E33" s="40"/>
      <c r="F33" s="40"/>
      <c r="G33" s="40"/>
      <c r="H33" s="40"/>
      <c r="I33" s="41"/>
    </row>
    <row r="34" spans="1:9" ht="20.25" customHeight="1" x14ac:dyDescent="0.25">
      <c r="A34" s="39"/>
      <c r="B34" s="40"/>
      <c r="C34" s="40"/>
      <c r="D34" s="40"/>
      <c r="E34" s="40"/>
      <c r="F34" s="40"/>
      <c r="G34" s="40"/>
      <c r="H34" s="40"/>
      <c r="I34" s="41"/>
    </row>
    <row r="35" spans="1:9" ht="20.25" customHeight="1" x14ac:dyDescent="0.25">
      <c r="A35" s="39"/>
      <c r="B35" s="40"/>
      <c r="C35" s="40"/>
      <c r="D35" s="40"/>
      <c r="E35" s="40"/>
      <c r="F35" s="40"/>
      <c r="G35" s="40"/>
      <c r="H35" s="40"/>
      <c r="I35" s="41"/>
    </row>
    <row r="36" spans="1:9" ht="20.25" customHeight="1" x14ac:dyDescent="0.25">
      <c r="A36" s="53" t="s">
        <v>210</v>
      </c>
      <c r="B36" s="54"/>
      <c r="C36" s="54"/>
      <c r="D36" s="54"/>
      <c r="E36" s="54"/>
      <c r="F36" s="54"/>
      <c r="G36" s="54"/>
      <c r="H36" s="54"/>
      <c r="I36" s="55"/>
    </row>
    <row r="37" spans="1:9" ht="20.25" customHeight="1" x14ac:dyDescent="0.25">
      <c r="A37" s="39"/>
      <c r="B37" s="40"/>
      <c r="C37" s="40"/>
      <c r="D37" s="40"/>
      <c r="E37" s="40"/>
      <c r="F37" s="40"/>
      <c r="G37" s="40"/>
      <c r="H37" s="40"/>
      <c r="I37" s="41"/>
    </row>
    <row r="38" spans="1:9" ht="20.25" customHeight="1" x14ac:dyDescent="0.25">
      <c r="A38" s="39"/>
      <c r="B38" s="40"/>
      <c r="C38" s="40"/>
      <c r="D38" s="40"/>
      <c r="E38" s="40"/>
      <c r="F38" s="40"/>
      <c r="G38" s="40"/>
      <c r="H38" s="40"/>
      <c r="I38" s="41"/>
    </row>
    <row r="39" spans="1:9" x14ac:dyDescent="0.25">
      <c r="A39" s="39"/>
      <c r="B39" s="40"/>
      <c r="C39" s="40"/>
      <c r="D39" s="40"/>
      <c r="E39" s="40"/>
      <c r="F39" s="40"/>
      <c r="G39" s="40"/>
      <c r="H39" s="40"/>
      <c r="I39" s="41"/>
    </row>
    <row r="40" spans="1:9" x14ac:dyDescent="0.25">
      <c r="A40" s="39"/>
      <c r="B40" s="40"/>
      <c r="C40" s="40"/>
      <c r="D40" s="40"/>
      <c r="E40" s="40"/>
      <c r="F40" s="40"/>
      <c r="G40" s="40"/>
      <c r="H40" s="40"/>
      <c r="I40" s="41"/>
    </row>
    <row r="41" spans="1:9" x14ac:dyDescent="0.25">
      <c r="A41" s="39"/>
      <c r="B41" s="40"/>
      <c r="C41" s="40"/>
      <c r="D41" s="40"/>
      <c r="E41" s="40"/>
      <c r="F41" s="40"/>
      <c r="G41" s="40"/>
      <c r="H41" s="40"/>
      <c r="I41" s="41"/>
    </row>
    <row r="42" spans="1:9" x14ac:dyDescent="0.25">
      <c r="A42" s="39"/>
      <c r="B42" s="40"/>
      <c r="C42" s="40"/>
      <c r="D42" s="40"/>
      <c r="E42" s="40"/>
      <c r="F42" s="40"/>
      <c r="G42" s="40"/>
      <c r="H42" s="40"/>
      <c r="I42" s="41"/>
    </row>
    <row r="43" spans="1:9" x14ac:dyDescent="0.25">
      <c r="A43" s="39"/>
      <c r="B43" s="40"/>
      <c r="C43" s="40"/>
      <c r="D43" s="40"/>
      <c r="E43" s="40"/>
      <c r="F43" s="40"/>
      <c r="G43" s="40"/>
      <c r="H43" s="40"/>
      <c r="I43" s="41"/>
    </row>
    <row r="44" spans="1:9" x14ac:dyDescent="0.25">
      <c r="A44" s="39"/>
      <c r="B44" s="40"/>
      <c r="C44" s="40"/>
      <c r="D44" s="40"/>
      <c r="E44" s="40"/>
      <c r="F44" s="40"/>
      <c r="G44" s="40"/>
      <c r="H44" s="40"/>
      <c r="I44" s="41"/>
    </row>
    <row r="45" spans="1:9" x14ac:dyDescent="0.25">
      <c r="A45" s="39"/>
      <c r="B45" s="40"/>
      <c r="C45" s="40"/>
      <c r="D45" s="40"/>
      <c r="E45" s="40"/>
      <c r="F45" s="40"/>
      <c r="G45" s="40"/>
      <c r="H45" s="40"/>
      <c r="I45" s="41"/>
    </row>
    <row r="46" spans="1:9" ht="15.75" thickBot="1" x14ac:dyDescent="0.3">
      <c r="A46" s="42"/>
      <c r="B46" s="43"/>
      <c r="C46" s="43"/>
      <c r="D46" s="43"/>
      <c r="E46" s="43"/>
      <c r="F46" s="43"/>
      <c r="G46" s="43"/>
      <c r="H46" s="43"/>
      <c r="I46" s="44"/>
    </row>
  </sheetData>
  <mergeCells count="1">
    <mergeCell ref="A36:I3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0"/>
  <sheetViews>
    <sheetView zoomScale="61" zoomScaleNormal="61" workbookViewId="0">
      <selection activeCell="P9" sqref="P9"/>
    </sheetView>
  </sheetViews>
  <sheetFormatPr baseColWidth="10" defaultColWidth="11.5703125" defaultRowHeight="15" x14ac:dyDescent="0.2"/>
  <cols>
    <col min="1" max="1" width="23.5703125" style="2" customWidth="1"/>
    <col min="2" max="2" width="18.28515625" style="2" customWidth="1"/>
    <col min="3" max="6" width="10.7109375" style="2" customWidth="1"/>
    <col min="7" max="7" width="14.42578125" style="2" customWidth="1"/>
    <col min="8" max="8" width="30" style="2" customWidth="1"/>
    <col min="9" max="9" width="19.28515625" style="2" customWidth="1"/>
    <col min="10" max="10" width="21.85546875" style="2" customWidth="1"/>
    <col min="11" max="11" width="16" style="2" customWidth="1"/>
    <col min="12" max="12" width="15.42578125" style="2" customWidth="1"/>
    <col min="13" max="13" width="105" style="2" customWidth="1"/>
    <col min="14" max="14" width="14.7109375" style="2" bestFit="1" customWidth="1"/>
    <col min="15" max="16384" width="11.5703125" style="2"/>
  </cols>
  <sheetData>
    <row r="1" spans="1:14" ht="24" customHeight="1" x14ac:dyDescent="0.2">
      <c r="A1" s="111"/>
      <c r="B1" s="111"/>
      <c r="C1" s="111"/>
      <c r="D1" s="111"/>
      <c r="E1" s="112" t="s">
        <v>0</v>
      </c>
      <c r="F1" s="113"/>
      <c r="G1" s="114"/>
      <c r="H1" s="114"/>
      <c r="I1" s="114"/>
      <c r="J1" s="114"/>
      <c r="K1" s="114"/>
      <c r="L1" s="115"/>
      <c r="M1" s="1" t="s">
        <v>1</v>
      </c>
    </row>
    <row r="2" spans="1:14" s="3" customFormat="1" ht="24.75" customHeight="1" x14ac:dyDescent="0.2">
      <c r="A2" s="111"/>
      <c r="B2" s="111"/>
      <c r="C2" s="111"/>
      <c r="D2" s="111"/>
      <c r="E2" s="116"/>
      <c r="F2" s="117"/>
      <c r="G2" s="118"/>
      <c r="H2" s="118"/>
      <c r="I2" s="118"/>
      <c r="J2" s="118"/>
      <c r="K2" s="118"/>
      <c r="L2" s="119"/>
      <c r="M2" s="1" t="s">
        <v>2</v>
      </c>
    </row>
    <row r="3" spans="1:14" s="3" customFormat="1" ht="22.5" customHeight="1" x14ac:dyDescent="0.2">
      <c r="A3" s="111"/>
      <c r="B3" s="111"/>
      <c r="C3" s="111"/>
      <c r="D3" s="111"/>
      <c r="E3" s="120"/>
      <c r="F3" s="121"/>
      <c r="G3" s="121"/>
      <c r="H3" s="121"/>
      <c r="I3" s="121"/>
      <c r="J3" s="121"/>
      <c r="K3" s="121"/>
      <c r="L3" s="122"/>
      <c r="M3" s="4" t="s">
        <v>3</v>
      </c>
    </row>
    <row r="4" spans="1:14" s="3" customFormat="1" ht="15.75" customHeight="1" x14ac:dyDescent="0.2">
      <c r="G4" s="123"/>
      <c r="H4" s="123"/>
      <c r="I4" s="123"/>
      <c r="J4" s="123"/>
      <c r="K4" s="123"/>
      <c r="L4" s="123"/>
      <c r="M4" s="123"/>
    </row>
    <row r="5" spans="1:14" s="3" customFormat="1" ht="29.45" customHeight="1" x14ac:dyDescent="0.2">
      <c r="A5" s="124" t="s">
        <v>4</v>
      </c>
      <c r="B5" s="124"/>
      <c r="C5" s="124"/>
      <c r="D5" s="124"/>
      <c r="E5" s="124"/>
      <c r="F5" s="124"/>
      <c r="G5" s="124"/>
      <c r="H5" s="124"/>
      <c r="I5" s="124"/>
      <c r="J5" s="124"/>
      <c r="K5" s="124"/>
      <c r="L5" s="124"/>
      <c r="M5" s="124"/>
    </row>
    <row r="6" spans="1:14" s="3" customFormat="1" x14ac:dyDescent="0.2">
      <c r="M6" s="5"/>
    </row>
    <row r="7" spans="1:14" s="6" customFormat="1" ht="47.45" customHeight="1" x14ac:dyDescent="0.2">
      <c r="A7" s="125" t="s">
        <v>5</v>
      </c>
      <c r="B7" s="125" t="s">
        <v>6</v>
      </c>
      <c r="C7" s="126" t="s">
        <v>7</v>
      </c>
      <c r="D7" s="127"/>
      <c r="E7" s="127"/>
      <c r="F7" s="128"/>
      <c r="G7" s="129" t="s">
        <v>8</v>
      </c>
      <c r="H7" s="125" t="s">
        <v>9</v>
      </c>
      <c r="I7" s="125" t="s">
        <v>10</v>
      </c>
      <c r="J7" s="125" t="s">
        <v>11</v>
      </c>
      <c r="K7" s="129" t="s">
        <v>12</v>
      </c>
      <c r="L7" s="129" t="s">
        <v>13</v>
      </c>
      <c r="M7" s="129" t="s">
        <v>14</v>
      </c>
    </row>
    <row r="8" spans="1:14" ht="27" customHeight="1" x14ac:dyDescent="0.2">
      <c r="A8" s="125"/>
      <c r="B8" s="125"/>
      <c r="C8" s="7" t="s">
        <v>15</v>
      </c>
      <c r="D8" s="7" t="s">
        <v>16</v>
      </c>
      <c r="E8" s="7" t="s">
        <v>17</v>
      </c>
      <c r="F8" s="8" t="s">
        <v>18</v>
      </c>
      <c r="G8" s="129"/>
      <c r="H8" s="125"/>
      <c r="I8" s="125"/>
      <c r="J8" s="125"/>
      <c r="K8" s="129"/>
      <c r="L8" s="129"/>
      <c r="M8" s="129"/>
    </row>
    <row r="9" spans="1:14" ht="213.75" customHeight="1" x14ac:dyDescent="0.2">
      <c r="A9" s="56" t="s">
        <v>19</v>
      </c>
      <c r="B9" s="59" t="s">
        <v>20</v>
      </c>
      <c r="C9" s="62">
        <v>0</v>
      </c>
      <c r="D9" s="74">
        <v>1258</v>
      </c>
      <c r="E9" s="91">
        <f>+D9+21+4</f>
        <v>1283</v>
      </c>
      <c r="F9" s="91">
        <f>1819</f>
        <v>1819</v>
      </c>
      <c r="G9" s="105">
        <f>+F9/2500</f>
        <v>0.72760000000000002</v>
      </c>
      <c r="H9" s="56" t="s">
        <v>21</v>
      </c>
      <c r="I9" s="56" t="s">
        <v>22</v>
      </c>
      <c r="J9" s="59" t="s">
        <v>23</v>
      </c>
      <c r="K9" s="108" t="s">
        <v>209</v>
      </c>
      <c r="L9" s="109">
        <f>+K9/2309</f>
        <v>0.78778692074491119</v>
      </c>
      <c r="M9" s="65" t="s">
        <v>192</v>
      </c>
    </row>
    <row r="10" spans="1:14" ht="199.5" customHeight="1" x14ac:dyDescent="0.2">
      <c r="A10" s="57"/>
      <c r="B10" s="60"/>
      <c r="C10" s="63"/>
      <c r="D10" s="90"/>
      <c r="E10" s="92"/>
      <c r="F10" s="92"/>
      <c r="G10" s="106"/>
      <c r="H10" s="58"/>
      <c r="I10" s="58"/>
      <c r="J10" s="61"/>
      <c r="K10" s="93"/>
      <c r="L10" s="96"/>
      <c r="M10" s="67"/>
    </row>
    <row r="11" spans="1:14" ht="273.75" customHeight="1" x14ac:dyDescent="0.2">
      <c r="A11" s="57"/>
      <c r="B11" s="61"/>
      <c r="C11" s="64"/>
      <c r="D11" s="75"/>
      <c r="E11" s="130"/>
      <c r="F11" s="93"/>
      <c r="G11" s="107"/>
      <c r="H11" s="4" t="s">
        <v>24</v>
      </c>
      <c r="I11" s="4" t="s">
        <v>22</v>
      </c>
      <c r="J11" s="9" t="s">
        <v>25</v>
      </c>
      <c r="K11" s="10">
        <v>0</v>
      </c>
      <c r="L11" s="11">
        <v>0</v>
      </c>
      <c r="M11" s="14" t="s">
        <v>193</v>
      </c>
      <c r="N11" s="12"/>
    </row>
    <row r="12" spans="1:14" ht="172.5" customHeight="1" x14ac:dyDescent="0.2">
      <c r="A12" s="57"/>
      <c r="B12" s="59" t="s">
        <v>26</v>
      </c>
      <c r="C12" s="62">
        <v>991</v>
      </c>
      <c r="D12" s="74">
        <v>1967</v>
      </c>
      <c r="E12" s="74">
        <v>4567</v>
      </c>
      <c r="F12" s="74">
        <f>+K13</f>
        <v>6052</v>
      </c>
      <c r="G12" s="68">
        <f>+F12/7700</f>
        <v>0.78597402597402599</v>
      </c>
      <c r="H12" s="4" t="s">
        <v>27</v>
      </c>
      <c r="I12" s="4" t="s">
        <v>22</v>
      </c>
      <c r="J12" s="9" t="s">
        <v>28</v>
      </c>
      <c r="K12" s="13">
        <v>75</v>
      </c>
      <c r="L12" s="11">
        <f>+K12/79</f>
        <v>0.94936708860759489</v>
      </c>
      <c r="M12" s="14" t="s">
        <v>185</v>
      </c>
      <c r="N12" s="12"/>
    </row>
    <row r="13" spans="1:14" ht="167.25" customHeight="1" x14ac:dyDescent="0.2">
      <c r="A13" s="57"/>
      <c r="B13" s="60"/>
      <c r="C13" s="63"/>
      <c r="D13" s="63"/>
      <c r="E13" s="100"/>
      <c r="F13" s="90"/>
      <c r="G13" s="69"/>
      <c r="H13" s="56" t="s">
        <v>29</v>
      </c>
      <c r="I13" s="56" t="s">
        <v>22</v>
      </c>
      <c r="J13" s="9" t="s">
        <v>26</v>
      </c>
      <c r="K13" s="15">
        <v>6052</v>
      </c>
      <c r="L13" s="11">
        <f>+K13/7700</f>
        <v>0.78597402597402599</v>
      </c>
      <c r="M13" s="103" t="s">
        <v>30</v>
      </c>
    </row>
    <row r="14" spans="1:14" ht="153.75" customHeight="1" x14ac:dyDescent="0.2">
      <c r="A14" s="57"/>
      <c r="B14" s="61"/>
      <c r="C14" s="64"/>
      <c r="D14" s="64"/>
      <c r="E14" s="101"/>
      <c r="F14" s="75"/>
      <c r="G14" s="70"/>
      <c r="H14" s="58"/>
      <c r="I14" s="102"/>
      <c r="J14" s="16" t="s">
        <v>31</v>
      </c>
      <c r="K14" s="17">
        <v>1</v>
      </c>
      <c r="L14" s="18">
        <v>1</v>
      </c>
      <c r="M14" s="104"/>
      <c r="N14" s="12"/>
    </row>
    <row r="15" spans="1:14" ht="350.25" customHeight="1" x14ac:dyDescent="0.2">
      <c r="A15" s="58"/>
      <c r="B15" s="9" t="s">
        <v>32</v>
      </c>
      <c r="C15" s="13">
        <v>0</v>
      </c>
      <c r="D15" s="13">
        <v>0</v>
      </c>
      <c r="E15" s="17">
        <v>85</v>
      </c>
      <c r="F15" s="17">
        <f>+K15+20</f>
        <v>223</v>
      </c>
      <c r="G15" s="11">
        <f>+F15/221</f>
        <v>1.0090497737556561</v>
      </c>
      <c r="H15" s="4" t="s">
        <v>33</v>
      </c>
      <c r="I15" s="4" t="s">
        <v>22</v>
      </c>
      <c r="J15" s="9" t="s">
        <v>34</v>
      </c>
      <c r="K15" s="17">
        <v>203</v>
      </c>
      <c r="L15" s="18">
        <f>+K15/195</f>
        <v>1.0410256410256411</v>
      </c>
      <c r="M15" s="14" t="s">
        <v>35</v>
      </c>
      <c r="N15" s="12"/>
    </row>
    <row r="16" spans="1:14" ht="250.5" customHeight="1" x14ac:dyDescent="0.2">
      <c r="A16" s="56" t="s">
        <v>36</v>
      </c>
      <c r="B16" s="59" t="s">
        <v>37</v>
      </c>
      <c r="C16" s="62">
        <v>76</v>
      </c>
      <c r="D16" s="62">
        <f>+C16+399</f>
        <v>475</v>
      </c>
      <c r="E16" s="97">
        <f>+D16+625</f>
        <v>1100</v>
      </c>
      <c r="F16" s="97">
        <f>+K16+K17+K19+K29+K18</f>
        <v>2408</v>
      </c>
      <c r="G16" s="94">
        <f>+F16/1910</f>
        <v>1.2607329842931938</v>
      </c>
      <c r="H16" s="4" t="s">
        <v>38</v>
      </c>
      <c r="I16" s="4" t="s">
        <v>39</v>
      </c>
      <c r="J16" s="9" t="s">
        <v>40</v>
      </c>
      <c r="K16" s="13">
        <v>1669</v>
      </c>
      <c r="L16" s="11">
        <f>+K16/1250</f>
        <v>1.3351999999999999</v>
      </c>
      <c r="M16" s="14" t="s">
        <v>188</v>
      </c>
      <c r="N16" s="12"/>
    </row>
    <row r="17" spans="1:14" ht="212.25" customHeight="1" x14ac:dyDescent="0.2">
      <c r="A17" s="57"/>
      <c r="B17" s="60"/>
      <c r="C17" s="63"/>
      <c r="D17" s="63"/>
      <c r="E17" s="98"/>
      <c r="F17" s="98"/>
      <c r="G17" s="95"/>
      <c r="H17" s="4" t="s">
        <v>41</v>
      </c>
      <c r="I17" s="4" t="s">
        <v>39</v>
      </c>
      <c r="J17" s="9" t="s">
        <v>42</v>
      </c>
      <c r="K17" s="17">
        <v>360</v>
      </c>
      <c r="L17" s="11">
        <f>+K17/463</f>
        <v>0.77753779697624192</v>
      </c>
      <c r="M17" s="14" t="s">
        <v>194</v>
      </c>
    </row>
    <row r="18" spans="1:14" ht="262.5" customHeight="1" x14ac:dyDescent="0.2">
      <c r="A18" s="57"/>
      <c r="B18" s="60"/>
      <c r="C18" s="63"/>
      <c r="D18" s="63"/>
      <c r="E18" s="98"/>
      <c r="F18" s="98"/>
      <c r="G18" s="95"/>
      <c r="H18" s="4" t="s">
        <v>43</v>
      </c>
      <c r="I18" s="4" t="s">
        <v>39</v>
      </c>
      <c r="J18" s="9" t="s">
        <v>44</v>
      </c>
      <c r="K18" s="13">
        <v>61</v>
      </c>
      <c r="L18" s="11">
        <f>+K18/12</f>
        <v>5.083333333333333</v>
      </c>
      <c r="M18" s="14" t="s">
        <v>189</v>
      </c>
    </row>
    <row r="19" spans="1:14" ht="151.5" customHeight="1" x14ac:dyDescent="0.2">
      <c r="A19" s="57"/>
      <c r="B19" s="61"/>
      <c r="C19" s="64"/>
      <c r="D19" s="64"/>
      <c r="E19" s="99"/>
      <c r="F19" s="99"/>
      <c r="G19" s="96"/>
      <c r="H19" s="4" t="s">
        <v>45</v>
      </c>
      <c r="I19" s="4" t="s">
        <v>39</v>
      </c>
      <c r="J19" s="9" t="s">
        <v>46</v>
      </c>
      <c r="K19" s="13">
        <v>236</v>
      </c>
      <c r="L19" s="11">
        <f>+K19/243</f>
        <v>0.9711934156378601</v>
      </c>
      <c r="M19" s="14" t="s">
        <v>190</v>
      </c>
    </row>
    <row r="20" spans="1:14" ht="364.5" customHeight="1" x14ac:dyDescent="0.2">
      <c r="A20" s="82" t="s">
        <v>36</v>
      </c>
      <c r="B20" s="9" t="s">
        <v>47</v>
      </c>
      <c r="C20" s="13" t="s">
        <v>48</v>
      </c>
      <c r="D20" s="13">
        <v>1</v>
      </c>
      <c r="E20" s="17">
        <v>1</v>
      </c>
      <c r="F20" s="17">
        <f>+K20</f>
        <v>7</v>
      </c>
      <c r="G20" s="18">
        <f>+F20/7</f>
        <v>1</v>
      </c>
      <c r="H20" s="19" t="s">
        <v>49</v>
      </c>
      <c r="I20" s="4" t="s">
        <v>39</v>
      </c>
      <c r="J20" s="20" t="s">
        <v>47</v>
      </c>
      <c r="K20" s="21">
        <v>7</v>
      </c>
      <c r="L20" s="22">
        <f>+K20/7</f>
        <v>1</v>
      </c>
      <c r="M20" s="14" t="s">
        <v>50</v>
      </c>
      <c r="N20" s="12"/>
    </row>
    <row r="21" spans="1:14" ht="201" customHeight="1" x14ac:dyDescent="0.2">
      <c r="A21" s="82"/>
      <c r="B21" s="9" t="s">
        <v>51</v>
      </c>
      <c r="C21" s="13">
        <v>87</v>
      </c>
      <c r="D21" s="17">
        <f>+C21+159</f>
        <v>246</v>
      </c>
      <c r="E21" s="17">
        <f>+D21+137</f>
        <v>383</v>
      </c>
      <c r="F21" s="17">
        <f>+E21+162</f>
        <v>545</v>
      </c>
      <c r="G21" s="18">
        <f>+F21/360</f>
        <v>1.5138888888888888</v>
      </c>
      <c r="H21" s="4" t="s">
        <v>52</v>
      </c>
      <c r="I21" s="19" t="s">
        <v>39</v>
      </c>
      <c r="J21" s="9" t="s">
        <v>51</v>
      </c>
      <c r="K21" s="17">
        <v>545</v>
      </c>
      <c r="L21" s="18">
        <f>+K21/360</f>
        <v>1.5138888888888888</v>
      </c>
      <c r="M21" s="14" t="s">
        <v>186</v>
      </c>
    </row>
    <row r="22" spans="1:14" ht="281.25" customHeight="1" x14ac:dyDescent="0.2">
      <c r="A22" s="56" t="s">
        <v>53</v>
      </c>
      <c r="B22" s="72" t="s">
        <v>54</v>
      </c>
      <c r="C22" s="74">
        <v>150401</v>
      </c>
      <c r="D22" s="74">
        <v>459313</v>
      </c>
      <c r="E22" s="91">
        <v>766257</v>
      </c>
      <c r="F22" s="91">
        <f>+K22+K23+K24+2343</f>
        <v>1423025</v>
      </c>
      <c r="G22" s="68">
        <f>+F22/1053900</f>
        <v>1.3502467027232186</v>
      </c>
      <c r="H22" s="4" t="s">
        <v>55</v>
      </c>
      <c r="I22" s="23" t="s">
        <v>56</v>
      </c>
      <c r="J22" s="9" t="s">
        <v>57</v>
      </c>
      <c r="K22" s="15">
        <v>48137</v>
      </c>
      <c r="L22" s="11">
        <f>+K22/38900</f>
        <v>1.2374550128534705</v>
      </c>
      <c r="M22" s="14" t="s">
        <v>58</v>
      </c>
    </row>
    <row r="23" spans="1:14" ht="282" customHeight="1" x14ac:dyDescent="0.2">
      <c r="A23" s="57"/>
      <c r="B23" s="84"/>
      <c r="C23" s="90"/>
      <c r="D23" s="90"/>
      <c r="E23" s="92"/>
      <c r="F23" s="92"/>
      <c r="G23" s="69"/>
      <c r="H23" s="4" t="s">
        <v>187</v>
      </c>
      <c r="I23" s="23" t="s">
        <v>56</v>
      </c>
      <c r="J23" s="9" t="s">
        <v>59</v>
      </c>
      <c r="K23" s="15">
        <v>17500</v>
      </c>
      <c r="L23" s="11">
        <f>+K23/15000</f>
        <v>1.1666666666666667</v>
      </c>
      <c r="M23" s="14" t="s">
        <v>60</v>
      </c>
    </row>
    <row r="24" spans="1:14" ht="349.5" customHeight="1" x14ac:dyDescent="0.2">
      <c r="A24" s="57"/>
      <c r="B24" s="73"/>
      <c r="C24" s="75"/>
      <c r="D24" s="75"/>
      <c r="E24" s="93"/>
      <c r="F24" s="93"/>
      <c r="G24" s="70"/>
      <c r="H24" s="4" t="s">
        <v>61</v>
      </c>
      <c r="I24" s="23" t="s">
        <v>56</v>
      </c>
      <c r="J24" s="9" t="s">
        <v>62</v>
      </c>
      <c r="K24" s="15">
        <f>384905+956257+13883</f>
        <v>1355045</v>
      </c>
      <c r="L24" s="11">
        <f>+K24/1000000</f>
        <v>1.3550450000000001</v>
      </c>
      <c r="M24" s="14" t="s">
        <v>191</v>
      </c>
    </row>
    <row r="25" spans="1:14" ht="387" customHeight="1" x14ac:dyDescent="0.2">
      <c r="A25" s="57" t="s">
        <v>53</v>
      </c>
      <c r="B25" s="59" t="s">
        <v>63</v>
      </c>
      <c r="C25" s="74" t="s">
        <v>48</v>
      </c>
      <c r="D25" s="74">
        <v>185314</v>
      </c>
      <c r="E25" s="91">
        <f>+D25</f>
        <v>185314</v>
      </c>
      <c r="F25" s="91">
        <f>+K25+K26+K27</f>
        <v>341253</v>
      </c>
      <c r="G25" s="68">
        <f>+F25/600000</f>
        <v>0.56875500000000001</v>
      </c>
      <c r="H25" s="4" t="s">
        <v>64</v>
      </c>
      <c r="I25" s="23" t="s">
        <v>56</v>
      </c>
      <c r="J25" s="9" t="s">
        <v>65</v>
      </c>
      <c r="K25" s="15">
        <f>339267+1228</f>
        <v>340495</v>
      </c>
      <c r="L25" s="11">
        <f>+K25/597600</f>
        <v>0.56977074966532792</v>
      </c>
      <c r="M25" s="14" t="s">
        <v>195</v>
      </c>
      <c r="N25" s="12"/>
    </row>
    <row r="26" spans="1:14" ht="361.5" customHeight="1" x14ac:dyDescent="0.2">
      <c r="A26" s="57"/>
      <c r="B26" s="60"/>
      <c r="C26" s="90"/>
      <c r="D26" s="90"/>
      <c r="E26" s="92"/>
      <c r="F26" s="92"/>
      <c r="G26" s="69"/>
      <c r="H26" s="4" t="s">
        <v>66</v>
      </c>
      <c r="I26" s="23" t="s">
        <v>56</v>
      </c>
      <c r="J26" s="9" t="s">
        <v>67</v>
      </c>
      <c r="K26" s="15">
        <f>265+145+262+48</f>
        <v>720</v>
      </c>
      <c r="L26" s="11">
        <f>+K26/1900</f>
        <v>0.37894736842105264</v>
      </c>
      <c r="M26" s="14" t="s">
        <v>196</v>
      </c>
    </row>
    <row r="27" spans="1:14" ht="375" customHeight="1" x14ac:dyDescent="0.2">
      <c r="A27" s="58"/>
      <c r="B27" s="61"/>
      <c r="C27" s="75"/>
      <c r="D27" s="75"/>
      <c r="E27" s="93"/>
      <c r="F27" s="93"/>
      <c r="G27" s="70"/>
      <c r="H27" s="4" t="s">
        <v>68</v>
      </c>
      <c r="I27" s="23" t="s">
        <v>56</v>
      </c>
      <c r="J27" s="9" t="s">
        <v>69</v>
      </c>
      <c r="K27" s="24">
        <v>38</v>
      </c>
      <c r="L27" s="18">
        <f>+K27/500</f>
        <v>7.5999999999999998E-2</v>
      </c>
      <c r="M27" s="14" t="s">
        <v>197</v>
      </c>
    </row>
    <row r="28" spans="1:14" ht="186.75" customHeight="1" x14ac:dyDescent="0.2">
      <c r="A28" s="56" t="s">
        <v>70</v>
      </c>
      <c r="B28" s="9" t="s">
        <v>71</v>
      </c>
      <c r="C28" s="13" t="s">
        <v>48</v>
      </c>
      <c r="D28" s="10">
        <v>0.16</v>
      </c>
      <c r="E28" s="10">
        <v>0.16</v>
      </c>
      <c r="F28" s="10">
        <f>+K28</f>
        <v>1</v>
      </c>
      <c r="G28" s="11">
        <f>+F28/80%</f>
        <v>1.25</v>
      </c>
      <c r="H28" s="4" t="s">
        <v>72</v>
      </c>
      <c r="I28" s="4" t="s">
        <v>39</v>
      </c>
      <c r="J28" s="9" t="s">
        <v>73</v>
      </c>
      <c r="K28" s="10">
        <v>1</v>
      </c>
      <c r="L28" s="11">
        <f>+K28/80%</f>
        <v>1.25</v>
      </c>
      <c r="M28" s="25" t="s">
        <v>74</v>
      </c>
      <c r="N28" s="12"/>
    </row>
    <row r="29" spans="1:14" ht="81" customHeight="1" x14ac:dyDescent="0.2">
      <c r="A29" s="57"/>
      <c r="B29" s="59" t="s">
        <v>75</v>
      </c>
      <c r="C29" s="62" t="s">
        <v>48</v>
      </c>
      <c r="D29" s="62">
        <v>1</v>
      </c>
      <c r="E29" s="62">
        <v>1</v>
      </c>
      <c r="F29" s="62">
        <f>+K30</f>
        <v>3</v>
      </c>
      <c r="G29" s="68">
        <f>+F29/3</f>
        <v>1</v>
      </c>
      <c r="H29" s="56" t="s">
        <v>76</v>
      </c>
      <c r="I29" s="56" t="s">
        <v>39</v>
      </c>
      <c r="J29" s="9" t="s">
        <v>77</v>
      </c>
      <c r="K29" s="13">
        <v>82</v>
      </c>
      <c r="L29" s="11">
        <f>+K29/90</f>
        <v>0.91111111111111109</v>
      </c>
      <c r="M29" s="65" t="s">
        <v>198</v>
      </c>
    </row>
    <row r="30" spans="1:14" ht="71.25" customHeight="1" x14ac:dyDescent="0.2">
      <c r="A30" s="57"/>
      <c r="B30" s="61"/>
      <c r="C30" s="64"/>
      <c r="D30" s="64"/>
      <c r="E30" s="64"/>
      <c r="F30" s="64"/>
      <c r="G30" s="70"/>
      <c r="H30" s="58"/>
      <c r="I30" s="58"/>
      <c r="J30" s="9" t="s">
        <v>78</v>
      </c>
      <c r="K30" s="13">
        <v>3</v>
      </c>
      <c r="L30" s="11">
        <f>+K30/3</f>
        <v>1</v>
      </c>
      <c r="M30" s="67"/>
    </row>
    <row r="31" spans="1:14" ht="327" customHeight="1" x14ac:dyDescent="0.2">
      <c r="A31" s="57"/>
      <c r="B31" s="59" t="s">
        <v>79</v>
      </c>
      <c r="C31" s="62">
        <v>0</v>
      </c>
      <c r="D31" s="62">
        <v>0</v>
      </c>
      <c r="E31" s="62">
        <v>1</v>
      </c>
      <c r="F31" s="62">
        <f>+K31</f>
        <v>3</v>
      </c>
      <c r="G31" s="68">
        <f>+F31/3</f>
        <v>1</v>
      </c>
      <c r="H31" s="13" t="s">
        <v>80</v>
      </c>
      <c r="I31" s="23" t="s">
        <v>81</v>
      </c>
      <c r="J31" s="9" t="s">
        <v>79</v>
      </c>
      <c r="K31" s="13">
        <v>3</v>
      </c>
      <c r="L31" s="11">
        <f>+K31/3</f>
        <v>1</v>
      </c>
      <c r="M31" s="26" t="s">
        <v>82</v>
      </c>
    </row>
    <row r="32" spans="1:14" ht="333" customHeight="1" x14ac:dyDescent="0.2">
      <c r="A32" s="57"/>
      <c r="B32" s="60"/>
      <c r="C32" s="63"/>
      <c r="D32" s="63"/>
      <c r="E32" s="63"/>
      <c r="F32" s="63"/>
      <c r="G32" s="69"/>
      <c r="H32" s="13" t="s">
        <v>83</v>
      </c>
      <c r="I32" s="23" t="s">
        <v>81</v>
      </c>
      <c r="J32" s="9" t="s">
        <v>84</v>
      </c>
      <c r="K32" s="13">
        <v>4</v>
      </c>
      <c r="L32" s="11">
        <v>1</v>
      </c>
      <c r="M32" s="26" t="s">
        <v>85</v>
      </c>
    </row>
    <row r="33" spans="1:14" ht="220.5" customHeight="1" x14ac:dyDescent="0.2">
      <c r="A33" s="57"/>
      <c r="B33" s="60"/>
      <c r="C33" s="63"/>
      <c r="D33" s="63"/>
      <c r="E33" s="63"/>
      <c r="F33" s="63"/>
      <c r="G33" s="69"/>
      <c r="H33" s="13" t="s">
        <v>86</v>
      </c>
      <c r="I33" s="56" t="s">
        <v>87</v>
      </c>
      <c r="J33" s="9" t="s">
        <v>88</v>
      </c>
      <c r="K33" s="27">
        <v>0.57999999999999996</v>
      </c>
      <c r="L33" s="11">
        <f>+K33/50%</f>
        <v>1.1599999999999999</v>
      </c>
      <c r="M33" s="26" t="s">
        <v>89</v>
      </c>
    </row>
    <row r="34" spans="1:14" ht="157.5" customHeight="1" x14ac:dyDescent="0.2">
      <c r="A34" s="57"/>
      <c r="B34" s="60"/>
      <c r="C34" s="63"/>
      <c r="D34" s="63"/>
      <c r="E34" s="63"/>
      <c r="F34" s="63"/>
      <c r="G34" s="69"/>
      <c r="H34" s="62" t="s">
        <v>90</v>
      </c>
      <c r="I34" s="57"/>
      <c r="J34" s="9" t="s">
        <v>91</v>
      </c>
      <c r="K34" s="10">
        <v>1</v>
      </c>
      <c r="L34" s="11">
        <v>1</v>
      </c>
      <c r="M34" s="76" t="s">
        <v>92</v>
      </c>
    </row>
    <row r="35" spans="1:14" ht="189" customHeight="1" x14ac:dyDescent="0.2">
      <c r="A35" s="57"/>
      <c r="B35" s="61"/>
      <c r="C35" s="64"/>
      <c r="D35" s="64"/>
      <c r="E35" s="64"/>
      <c r="F35" s="64"/>
      <c r="G35" s="70"/>
      <c r="H35" s="64"/>
      <c r="I35" s="58"/>
      <c r="J35" s="9" t="s">
        <v>93</v>
      </c>
      <c r="K35" s="10">
        <v>0.84</v>
      </c>
      <c r="L35" s="11">
        <f>+K35/84%</f>
        <v>1</v>
      </c>
      <c r="M35" s="78"/>
    </row>
    <row r="36" spans="1:14" ht="121.5" customHeight="1" x14ac:dyDescent="0.2">
      <c r="A36" s="58"/>
      <c r="B36" s="20" t="s">
        <v>94</v>
      </c>
      <c r="C36" s="28">
        <v>0.68500000000000005</v>
      </c>
      <c r="D36" s="29">
        <v>0.73</v>
      </c>
      <c r="E36" s="28">
        <v>0.76800000000000002</v>
      </c>
      <c r="F36" s="28">
        <f>+K36</f>
        <v>0.75629999999999997</v>
      </c>
      <c r="G36" s="47">
        <f>F36/53%</f>
        <v>1.4269811320754715</v>
      </c>
      <c r="H36" s="46" t="s">
        <v>95</v>
      </c>
      <c r="I36" s="46" t="s">
        <v>96</v>
      </c>
      <c r="J36" s="48" t="s">
        <v>94</v>
      </c>
      <c r="K36" s="30">
        <v>0.75629999999999997</v>
      </c>
      <c r="L36" s="11">
        <f>+K36/53%</f>
        <v>1.4269811320754715</v>
      </c>
      <c r="M36" s="49" t="s">
        <v>206</v>
      </c>
    </row>
    <row r="37" spans="1:14" ht="121.5" customHeight="1" x14ac:dyDescent="0.2">
      <c r="A37" s="56" t="s">
        <v>97</v>
      </c>
      <c r="B37" s="87" t="s">
        <v>98</v>
      </c>
      <c r="C37" s="62">
        <v>1</v>
      </c>
      <c r="D37" s="62">
        <v>2</v>
      </c>
      <c r="E37" s="62">
        <v>5</v>
      </c>
      <c r="F37" s="62">
        <f>+K37</f>
        <v>10</v>
      </c>
      <c r="G37" s="68">
        <f>+L37</f>
        <v>0.76923076923076927</v>
      </c>
      <c r="H37" s="56" t="s">
        <v>99</v>
      </c>
      <c r="I37" s="82" t="s">
        <v>100</v>
      </c>
      <c r="J37" s="16" t="s">
        <v>101</v>
      </c>
      <c r="K37" s="13">
        <v>10</v>
      </c>
      <c r="L37" s="11">
        <f>+K37/13</f>
        <v>0.76923076923076927</v>
      </c>
      <c r="M37" s="65" t="s">
        <v>102</v>
      </c>
    </row>
    <row r="38" spans="1:14" ht="141" customHeight="1" x14ac:dyDescent="0.2">
      <c r="A38" s="57"/>
      <c r="B38" s="88"/>
      <c r="C38" s="63"/>
      <c r="D38" s="63"/>
      <c r="E38" s="63"/>
      <c r="F38" s="63"/>
      <c r="G38" s="69"/>
      <c r="H38" s="58"/>
      <c r="I38" s="82"/>
      <c r="J38" s="16" t="s">
        <v>103</v>
      </c>
      <c r="K38" s="17">
        <v>12</v>
      </c>
      <c r="L38" s="18">
        <f>+K38/20</f>
        <v>0.6</v>
      </c>
      <c r="M38" s="67"/>
    </row>
    <row r="39" spans="1:14" ht="322.5" customHeight="1" x14ac:dyDescent="0.2">
      <c r="A39" s="57"/>
      <c r="B39" s="88"/>
      <c r="C39" s="63"/>
      <c r="D39" s="63"/>
      <c r="E39" s="63"/>
      <c r="F39" s="89"/>
      <c r="G39" s="69"/>
      <c r="H39" s="19" t="s">
        <v>104</v>
      </c>
      <c r="I39" s="4" t="s">
        <v>100</v>
      </c>
      <c r="J39" s="9" t="s">
        <v>105</v>
      </c>
      <c r="K39" s="13">
        <v>0</v>
      </c>
      <c r="L39" s="11">
        <v>0</v>
      </c>
      <c r="M39" s="35" t="s">
        <v>106</v>
      </c>
      <c r="N39" s="31"/>
    </row>
    <row r="40" spans="1:14" ht="260.25" customHeight="1" x14ac:dyDescent="0.2">
      <c r="A40" s="57"/>
      <c r="B40" s="83" t="s">
        <v>107</v>
      </c>
      <c r="C40" s="85">
        <v>0</v>
      </c>
      <c r="D40" s="85">
        <v>6</v>
      </c>
      <c r="E40" s="85">
        <v>7</v>
      </c>
      <c r="F40" s="85">
        <f>+K38</f>
        <v>12</v>
      </c>
      <c r="G40" s="86">
        <f>+L38</f>
        <v>0.6</v>
      </c>
      <c r="H40" s="19" t="s">
        <v>108</v>
      </c>
      <c r="I40" s="32" t="s">
        <v>100</v>
      </c>
      <c r="J40" s="9" t="s">
        <v>109</v>
      </c>
      <c r="K40" s="10">
        <v>0.6</v>
      </c>
      <c r="L40" s="11">
        <f>60%*100%/90%</f>
        <v>0.66666666666666663</v>
      </c>
      <c r="M40" s="35" t="s">
        <v>110</v>
      </c>
      <c r="N40" s="12"/>
    </row>
    <row r="41" spans="1:14" ht="409.5" customHeight="1" x14ac:dyDescent="0.2">
      <c r="A41" s="57"/>
      <c r="B41" s="84"/>
      <c r="C41" s="63"/>
      <c r="D41" s="63"/>
      <c r="E41" s="63"/>
      <c r="F41" s="63"/>
      <c r="G41" s="69"/>
      <c r="H41" s="19" t="s">
        <v>111</v>
      </c>
      <c r="I41" s="4" t="s">
        <v>100</v>
      </c>
      <c r="J41" s="9" t="s">
        <v>112</v>
      </c>
      <c r="K41" s="11">
        <v>0.5</v>
      </c>
      <c r="L41" s="11">
        <f>+K41/100%</f>
        <v>0.5</v>
      </c>
      <c r="M41" s="35" t="s">
        <v>113</v>
      </c>
    </row>
    <row r="42" spans="1:14" ht="333.75" customHeight="1" x14ac:dyDescent="0.2">
      <c r="A42" s="58"/>
      <c r="B42" s="73"/>
      <c r="C42" s="64"/>
      <c r="D42" s="64"/>
      <c r="E42" s="64"/>
      <c r="F42" s="64"/>
      <c r="G42" s="70"/>
      <c r="H42" s="19" t="s">
        <v>114</v>
      </c>
      <c r="I42" s="4" t="s">
        <v>100</v>
      </c>
      <c r="J42" s="9" t="s">
        <v>115</v>
      </c>
      <c r="K42" s="11">
        <v>1</v>
      </c>
      <c r="L42" s="11">
        <f>+K42/80%</f>
        <v>1.25</v>
      </c>
      <c r="M42" s="35" t="s">
        <v>116</v>
      </c>
    </row>
    <row r="43" spans="1:14" ht="345.75" customHeight="1" x14ac:dyDescent="0.2">
      <c r="A43" s="56" t="s">
        <v>117</v>
      </c>
      <c r="B43" s="59" t="s">
        <v>118</v>
      </c>
      <c r="C43" s="62" t="s">
        <v>48</v>
      </c>
      <c r="D43" s="62">
        <v>3</v>
      </c>
      <c r="E43" s="62">
        <v>3</v>
      </c>
      <c r="F43" s="62">
        <f>+K43+K45</f>
        <v>5</v>
      </c>
      <c r="G43" s="68">
        <f>+F43/5</f>
        <v>1</v>
      </c>
      <c r="H43" s="19" t="s">
        <v>119</v>
      </c>
      <c r="I43" s="23" t="s">
        <v>120</v>
      </c>
      <c r="J43" s="9" t="s">
        <v>121</v>
      </c>
      <c r="K43" s="13">
        <f>1+1+1</f>
        <v>3</v>
      </c>
      <c r="L43" s="11">
        <v>1</v>
      </c>
      <c r="M43" s="35" t="s">
        <v>199</v>
      </c>
    </row>
    <row r="44" spans="1:14" ht="186" customHeight="1" x14ac:dyDescent="0.2">
      <c r="A44" s="57"/>
      <c r="B44" s="60"/>
      <c r="C44" s="63"/>
      <c r="D44" s="63"/>
      <c r="E44" s="63"/>
      <c r="F44" s="63"/>
      <c r="G44" s="69"/>
      <c r="H44" s="19" t="s">
        <v>122</v>
      </c>
      <c r="I44" s="23" t="s">
        <v>120</v>
      </c>
      <c r="J44" s="9" t="s">
        <v>123</v>
      </c>
      <c r="K44" s="13">
        <f>132+8+13+4</f>
        <v>157</v>
      </c>
      <c r="L44" s="11">
        <f>+K44/200</f>
        <v>0.78500000000000003</v>
      </c>
      <c r="M44" s="35" t="s">
        <v>124</v>
      </c>
    </row>
    <row r="45" spans="1:14" ht="398.25" customHeight="1" x14ac:dyDescent="0.2">
      <c r="A45" s="57"/>
      <c r="B45" s="60"/>
      <c r="C45" s="63"/>
      <c r="D45" s="63"/>
      <c r="E45" s="63"/>
      <c r="F45" s="63"/>
      <c r="G45" s="69"/>
      <c r="H45" s="19" t="s">
        <v>125</v>
      </c>
      <c r="I45" s="23" t="s">
        <v>120</v>
      </c>
      <c r="J45" s="9" t="s">
        <v>126</v>
      </c>
      <c r="K45" s="13">
        <v>2</v>
      </c>
      <c r="L45" s="11">
        <f>+K45/2</f>
        <v>1</v>
      </c>
      <c r="M45" s="35" t="s">
        <v>127</v>
      </c>
    </row>
    <row r="46" spans="1:14" ht="357" x14ac:dyDescent="0.2">
      <c r="A46" s="58"/>
      <c r="B46" s="61"/>
      <c r="C46" s="64"/>
      <c r="D46" s="64"/>
      <c r="E46" s="64"/>
      <c r="F46" s="64"/>
      <c r="G46" s="70"/>
      <c r="H46" s="19" t="s">
        <v>128</v>
      </c>
      <c r="I46" s="23" t="s">
        <v>120</v>
      </c>
      <c r="J46" s="9" t="s">
        <v>129</v>
      </c>
      <c r="K46" s="13">
        <v>3</v>
      </c>
      <c r="L46" s="11">
        <f>+K46/2</f>
        <v>1.5</v>
      </c>
      <c r="M46" s="35" t="s">
        <v>200</v>
      </c>
    </row>
    <row r="47" spans="1:14" ht="107.25" customHeight="1" x14ac:dyDescent="0.2">
      <c r="A47" s="56" t="s">
        <v>130</v>
      </c>
      <c r="B47" s="59" t="s">
        <v>131</v>
      </c>
      <c r="C47" s="62" t="s">
        <v>48</v>
      </c>
      <c r="D47" s="62" t="s">
        <v>48</v>
      </c>
      <c r="E47" s="62" t="s">
        <v>48</v>
      </c>
      <c r="F47" s="79">
        <v>0.88</v>
      </c>
      <c r="G47" s="68">
        <f>+F47/86%</f>
        <v>1.0232558139534884</v>
      </c>
      <c r="H47" s="56" t="s">
        <v>132</v>
      </c>
      <c r="I47" s="56" t="s">
        <v>87</v>
      </c>
      <c r="J47" s="9" t="s">
        <v>133</v>
      </c>
      <c r="K47" s="10">
        <v>0.72</v>
      </c>
      <c r="L47" s="11">
        <f>+K47/70%</f>
        <v>1.0285714285714287</v>
      </c>
      <c r="M47" s="65" t="s">
        <v>201</v>
      </c>
    </row>
    <row r="48" spans="1:14" ht="99.75" customHeight="1" x14ac:dyDescent="0.2">
      <c r="A48" s="57"/>
      <c r="B48" s="60"/>
      <c r="C48" s="63"/>
      <c r="D48" s="63"/>
      <c r="E48" s="63"/>
      <c r="F48" s="80"/>
      <c r="G48" s="69"/>
      <c r="H48" s="57"/>
      <c r="I48" s="57"/>
      <c r="J48" s="9" t="s">
        <v>134</v>
      </c>
      <c r="K48" s="10">
        <v>0.73</v>
      </c>
      <c r="L48" s="11">
        <f>+K48/62%</f>
        <v>1.1774193548387097</v>
      </c>
      <c r="M48" s="66"/>
    </row>
    <row r="49" spans="1:13" ht="77.25" customHeight="1" x14ac:dyDescent="0.2">
      <c r="A49" s="57"/>
      <c r="B49" s="60"/>
      <c r="C49" s="63"/>
      <c r="D49" s="63"/>
      <c r="E49" s="63"/>
      <c r="F49" s="80"/>
      <c r="G49" s="69"/>
      <c r="H49" s="58"/>
      <c r="I49" s="58"/>
      <c r="J49" s="9" t="s">
        <v>135</v>
      </c>
      <c r="K49" s="10">
        <v>1</v>
      </c>
      <c r="L49" s="11">
        <f>+K49/80%</f>
        <v>1.25</v>
      </c>
      <c r="M49" s="67"/>
    </row>
    <row r="50" spans="1:13" ht="144" customHeight="1" x14ac:dyDescent="0.2">
      <c r="A50" s="57"/>
      <c r="B50" s="60"/>
      <c r="C50" s="63"/>
      <c r="D50" s="63"/>
      <c r="E50" s="63"/>
      <c r="F50" s="80"/>
      <c r="G50" s="69"/>
      <c r="H50" s="56" t="s">
        <v>136</v>
      </c>
      <c r="I50" s="56" t="s">
        <v>137</v>
      </c>
      <c r="J50" s="9" t="s">
        <v>138</v>
      </c>
      <c r="K50" s="10">
        <v>1</v>
      </c>
      <c r="L50" s="11">
        <v>1</v>
      </c>
      <c r="M50" s="65" t="s">
        <v>202</v>
      </c>
    </row>
    <row r="51" spans="1:13" ht="101.25" customHeight="1" x14ac:dyDescent="0.2">
      <c r="A51" s="57"/>
      <c r="B51" s="60"/>
      <c r="C51" s="63"/>
      <c r="D51" s="63"/>
      <c r="E51" s="63"/>
      <c r="F51" s="80"/>
      <c r="G51" s="69"/>
      <c r="H51" s="57"/>
      <c r="I51" s="57"/>
      <c r="J51" s="9" t="s">
        <v>139</v>
      </c>
      <c r="K51" s="10">
        <v>1</v>
      </c>
      <c r="L51" s="11">
        <f>+K51/100%</f>
        <v>1</v>
      </c>
      <c r="M51" s="66"/>
    </row>
    <row r="52" spans="1:13" ht="105.75" customHeight="1" x14ac:dyDescent="0.2">
      <c r="A52" s="57"/>
      <c r="B52" s="60"/>
      <c r="C52" s="63"/>
      <c r="D52" s="63"/>
      <c r="E52" s="63"/>
      <c r="F52" s="80"/>
      <c r="G52" s="69"/>
      <c r="H52" s="58"/>
      <c r="I52" s="58"/>
      <c r="J52" s="9" t="s">
        <v>140</v>
      </c>
      <c r="K52" s="10">
        <v>0.89</v>
      </c>
      <c r="L52" s="11">
        <f>+K52/78%</f>
        <v>1.141025641025641</v>
      </c>
      <c r="M52" s="67"/>
    </row>
    <row r="53" spans="1:13" ht="129" customHeight="1" x14ac:dyDescent="0.2">
      <c r="A53" s="57"/>
      <c r="B53" s="60"/>
      <c r="C53" s="63"/>
      <c r="D53" s="63"/>
      <c r="E53" s="63"/>
      <c r="F53" s="80"/>
      <c r="G53" s="69"/>
      <c r="H53" s="56" t="s">
        <v>141</v>
      </c>
      <c r="I53" s="56" t="s">
        <v>87</v>
      </c>
      <c r="J53" s="9" t="s">
        <v>142</v>
      </c>
      <c r="K53" s="33">
        <v>0.12</v>
      </c>
      <c r="L53" s="11">
        <f>0.12/0.6</f>
        <v>0.2</v>
      </c>
      <c r="M53" s="65" t="s">
        <v>143</v>
      </c>
    </row>
    <row r="54" spans="1:13" ht="178.5" customHeight="1" x14ac:dyDescent="0.2">
      <c r="A54" s="57"/>
      <c r="B54" s="60"/>
      <c r="C54" s="63"/>
      <c r="D54" s="63"/>
      <c r="E54" s="63"/>
      <c r="F54" s="80"/>
      <c r="G54" s="69"/>
      <c r="H54" s="58"/>
      <c r="I54" s="58"/>
      <c r="J54" s="9" t="s">
        <v>144</v>
      </c>
      <c r="K54" s="10">
        <v>0.72</v>
      </c>
      <c r="L54" s="11">
        <v>0.92307692307692313</v>
      </c>
      <c r="M54" s="67"/>
    </row>
    <row r="55" spans="1:13" ht="129" customHeight="1" x14ac:dyDescent="0.2">
      <c r="A55" s="57"/>
      <c r="B55" s="60"/>
      <c r="C55" s="63"/>
      <c r="D55" s="63"/>
      <c r="E55" s="63"/>
      <c r="F55" s="80"/>
      <c r="G55" s="69"/>
      <c r="H55" s="56" t="s">
        <v>145</v>
      </c>
      <c r="I55" s="56" t="s">
        <v>146</v>
      </c>
      <c r="J55" s="9" t="s">
        <v>147</v>
      </c>
      <c r="K55" s="10">
        <v>1</v>
      </c>
      <c r="L55" s="11">
        <v>1</v>
      </c>
      <c r="M55" s="65" t="s">
        <v>148</v>
      </c>
    </row>
    <row r="56" spans="1:13" ht="108" customHeight="1" x14ac:dyDescent="0.2">
      <c r="A56" s="57"/>
      <c r="B56" s="60"/>
      <c r="C56" s="63"/>
      <c r="D56" s="63"/>
      <c r="E56" s="63"/>
      <c r="F56" s="80"/>
      <c r="G56" s="69"/>
      <c r="H56" s="57"/>
      <c r="I56" s="57"/>
      <c r="J56" s="9" t="s">
        <v>149</v>
      </c>
      <c r="K56" s="10">
        <v>0.89</v>
      </c>
      <c r="L56" s="11">
        <v>1.05</v>
      </c>
      <c r="M56" s="66"/>
    </row>
    <row r="57" spans="1:13" ht="127.5" customHeight="1" x14ac:dyDescent="0.2">
      <c r="A57" s="57"/>
      <c r="B57" s="60"/>
      <c r="C57" s="63"/>
      <c r="D57" s="63"/>
      <c r="E57" s="63"/>
      <c r="F57" s="80"/>
      <c r="G57" s="69"/>
      <c r="H57" s="57"/>
      <c r="I57" s="57"/>
      <c r="J57" s="9" t="s">
        <v>150</v>
      </c>
      <c r="K57" s="10">
        <v>0.78</v>
      </c>
      <c r="L57" s="11">
        <v>1.07</v>
      </c>
      <c r="M57" s="66"/>
    </row>
    <row r="58" spans="1:13" ht="172.5" customHeight="1" x14ac:dyDescent="0.2">
      <c r="A58" s="58"/>
      <c r="B58" s="61"/>
      <c r="C58" s="64"/>
      <c r="D58" s="64"/>
      <c r="E58" s="64"/>
      <c r="F58" s="80"/>
      <c r="G58" s="69"/>
      <c r="H58" s="58"/>
      <c r="I58" s="58"/>
      <c r="J58" s="33" t="s">
        <v>151</v>
      </c>
      <c r="K58" s="10">
        <v>1</v>
      </c>
      <c r="L58" s="11">
        <v>1</v>
      </c>
      <c r="M58" s="67"/>
    </row>
    <row r="59" spans="1:13" ht="81" customHeight="1" x14ac:dyDescent="0.2">
      <c r="A59" s="56" t="s">
        <v>152</v>
      </c>
      <c r="B59" s="59" t="s">
        <v>131</v>
      </c>
      <c r="C59" s="62" t="s">
        <v>48</v>
      </c>
      <c r="D59" s="62" t="s">
        <v>48</v>
      </c>
      <c r="E59" s="62" t="s">
        <v>48</v>
      </c>
      <c r="F59" s="80"/>
      <c r="G59" s="69"/>
      <c r="H59" s="56" t="s">
        <v>153</v>
      </c>
      <c r="I59" s="56" t="s">
        <v>154</v>
      </c>
      <c r="J59" s="9" t="s">
        <v>155</v>
      </c>
      <c r="K59" s="27">
        <v>0.45</v>
      </c>
      <c r="L59" s="11">
        <v>1.1100000000000001</v>
      </c>
      <c r="M59" s="76" t="s">
        <v>204</v>
      </c>
    </row>
    <row r="60" spans="1:13" ht="70.5" customHeight="1" x14ac:dyDescent="0.2">
      <c r="A60" s="57"/>
      <c r="B60" s="60"/>
      <c r="C60" s="63"/>
      <c r="D60" s="63"/>
      <c r="E60" s="63"/>
      <c r="F60" s="80"/>
      <c r="G60" s="69"/>
      <c r="H60" s="57"/>
      <c r="I60" s="57"/>
      <c r="J60" s="9" t="s">
        <v>156</v>
      </c>
      <c r="K60" s="11">
        <v>1.1599999999999999</v>
      </c>
      <c r="L60" s="11">
        <v>1.1599999999999999</v>
      </c>
      <c r="M60" s="77"/>
    </row>
    <row r="61" spans="1:13" ht="70.5" customHeight="1" x14ac:dyDescent="0.2">
      <c r="A61" s="57"/>
      <c r="B61" s="60"/>
      <c r="C61" s="63"/>
      <c r="D61" s="63"/>
      <c r="E61" s="63"/>
      <c r="F61" s="80"/>
      <c r="G61" s="69"/>
      <c r="H61" s="57"/>
      <c r="I61" s="57"/>
      <c r="J61" s="9" t="s">
        <v>157</v>
      </c>
      <c r="K61" s="10">
        <v>1</v>
      </c>
      <c r="L61" s="11">
        <v>1</v>
      </c>
      <c r="M61" s="77"/>
    </row>
    <row r="62" spans="1:13" ht="70.5" customHeight="1" x14ac:dyDescent="0.2">
      <c r="A62" s="57"/>
      <c r="B62" s="60"/>
      <c r="C62" s="63"/>
      <c r="D62" s="63"/>
      <c r="E62" s="63"/>
      <c r="F62" s="80"/>
      <c r="G62" s="69"/>
      <c r="H62" s="57"/>
      <c r="I62" s="57"/>
      <c r="J62" s="9" t="s">
        <v>158</v>
      </c>
      <c r="K62" s="10">
        <v>1</v>
      </c>
      <c r="L62" s="11">
        <v>1</v>
      </c>
      <c r="M62" s="77"/>
    </row>
    <row r="63" spans="1:13" ht="77.25" customHeight="1" x14ac:dyDescent="0.2">
      <c r="A63" s="57"/>
      <c r="B63" s="60"/>
      <c r="C63" s="63"/>
      <c r="D63" s="63"/>
      <c r="E63" s="63"/>
      <c r="F63" s="80"/>
      <c r="G63" s="69"/>
      <c r="H63" s="58"/>
      <c r="I63" s="58"/>
      <c r="J63" s="9" t="s">
        <v>159</v>
      </c>
      <c r="K63" s="10">
        <v>0.77</v>
      </c>
      <c r="L63" s="11">
        <v>1</v>
      </c>
      <c r="M63" s="78"/>
    </row>
    <row r="64" spans="1:13" ht="93" customHeight="1" x14ac:dyDescent="0.2">
      <c r="A64" s="57"/>
      <c r="B64" s="60"/>
      <c r="C64" s="63"/>
      <c r="D64" s="63"/>
      <c r="E64" s="63"/>
      <c r="F64" s="80"/>
      <c r="G64" s="69"/>
      <c r="H64" s="56" t="s">
        <v>160</v>
      </c>
      <c r="I64" s="56" t="s">
        <v>161</v>
      </c>
      <c r="J64" s="9" t="s">
        <v>162</v>
      </c>
      <c r="K64" s="50">
        <v>0.6</v>
      </c>
      <c r="L64" s="51">
        <f>+K64/60%</f>
        <v>1</v>
      </c>
      <c r="M64" s="65" t="s">
        <v>208</v>
      </c>
    </row>
    <row r="65" spans="1:13" ht="93" customHeight="1" x14ac:dyDescent="0.2">
      <c r="A65" s="57"/>
      <c r="B65" s="60"/>
      <c r="C65" s="63"/>
      <c r="D65" s="63"/>
      <c r="E65" s="63"/>
      <c r="F65" s="80"/>
      <c r="G65" s="69"/>
      <c r="H65" s="58"/>
      <c r="I65" s="58"/>
      <c r="J65" s="9" t="s">
        <v>163</v>
      </c>
      <c r="K65" s="52">
        <v>0.7</v>
      </c>
      <c r="L65" s="51">
        <f>+K65/42%</f>
        <v>1.6666666666666665</v>
      </c>
      <c r="M65" s="67"/>
    </row>
    <row r="66" spans="1:13" ht="109.5" customHeight="1" x14ac:dyDescent="0.2">
      <c r="A66" s="57"/>
      <c r="B66" s="60"/>
      <c r="C66" s="63"/>
      <c r="D66" s="63"/>
      <c r="E66" s="63"/>
      <c r="F66" s="80"/>
      <c r="G66" s="69"/>
      <c r="H66" s="56" t="s">
        <v>164</v>
      </c>
      <c r="I66" s="56" t="s">
        <v>161</v>
      </c>
      <c r="J66" s="9" t="s">
        <v>165</v>
      </c>
      <c r="K66" s="13" t="s">
        <v>166</v>
      </c>
      <c r="L66" s="11">
        <v>0</v>
      </c>
      <c r="M66" s="65" t="s">
        <v>167</v>
      </c>
    </row>
    <row r="67" spans="1:13" ht="100.5" customHeight="1" x14ac:dyDescent="0.2">
      <c r="A67" s="57"/>
      <c r="B67" s="60"/>
      <c r="C67" s="63"/>
      <c r="D67" s="63"/>
      <c r="E67" s="63"/>
      <c r="F67" s="80"/>
      <c r="G67" s="69"/>
      <c r="H67" s="58"/>
      <c r="I67" s="58"/>
      <c r="J67" s="9" t="s">
        <v>139</v>
      </c>
      <c r="K67" s="10">
        <v>1</v>
      </c>
      <c r="L67" s="11">
        <v>1</v>
      </c>
      <c r="M67" s="67"/>
    </row>
    <row r="68" spans="1:13" ht="150.75" customHeight="1" x14ac:dyDescent="0.2">
      <c r="A68" s="57"/>
      <c r="B68" s="60"/>
      <c r="C68" s="63"/>
      <c r="D68" s="63"/>
      <c r="E68" s="63"/>
      <c r="F68" s="80"/>
      <c r="G68" s="69"/>
      <c r="H68" s="19" t="s">
        <v>168</v>
      </c>
      <c r="I68" s="19" t="s">
        <v>161</v>
      </c>
      <c r="J68" s="9" t="s">
        <v>156</v>
      </c>
      <c r="K68" s="10">
        <v>2.72</v>
      </c>
      <c r="L68" s="11">
        <v>2.72</v>
      </c>
      <c r="M68" s="45" t="s">
        <v>205</v>
      </c>
    </row>
    <row r="69" spans="1:13" ht="76.5" customHeight="1" x14ac:dyDescent="0.2">
      <c r="A69" s="57"/>
      <c r="B69" s="60"/>
      <c r="C69" s="63"/>
      <c r="D69" s="63"/>
      <c r="E69" s="63"/>
      <c r="F69" s="80"/>
      <c r="G69" s="69"/>
      <c r="H69" s="56" t="s">
        <v>169</v>
      </c>
      <c r="I69" s="56" t="s">
        <v>161</v>
      </c>
      <c r="J69" s="9" t="s">
        <v>170</v>
      </c>
      <c r="K69" s="10">
        <v>1</v>
      </c>
      <c r="L69" s="11">
        <v>1</v>
      </c>
      <c r="M69" s="65" t="s">
        <v>171</v>
      </c>
    </row>
    <row r="70" spans="1:13" ht="85.5" customHeight="1" x14ac:dyDescent="0.2">
      <c r="A70" s="57"/>
      <c r="B70" s="60"/>
      <c r="C70" s="63"/>
      <c r="D70" s="63"/>
      <c r="E70" s="63"/>
      <c r="F70" s="80"/>
      <c r="G70" s="69"/>
      <c r="H70" s="58"/>
      <c r="I70" s="58"/>
      <c r="J70" s="9" t="s">
        <v>172</v>
      </c>
      <c r="K70" s="10">
        <v>1</v>
      </c>
      <c r="L70" s="11">
        <v>1</v>
      </c>
      <c r="M70" s="67"/>
    </row>
    <row r="71" spans="1:13" ht="142.5" customHeight="1" x14ac:dyDescent="0.2">
      <c r="A71" s="57"/>
      <c r="B71" s="60"/>
      <c r="C71" s="63"/>
      <c r="D71" s="63"/>
      <c r="E71" s="63"/>
      <c r="F71" s="80"/>
      <c r="G71" s="69"/>
      <c r="H71" s="56" t="s">
        <v>173</v>
      </c>
      <c r="I71" s="56" t="s">
        <v>174</v>
      </c>
      <c r="J71" s="9" t="s">
        <v>175</v>
      </c>
      <c r="K71" s="10">
        <v>0.75</v>
      </c>
      <c r="L71" s="30">
        <v>0.83529411764705885</v>
      </c>
      <c r="M71" s="65" t="s">
        <v>176</v>
      </c>
    </row>
    <row r="72" spans="1:13" ht="110.25" customHeight="1" x14ac:dyDescent="0.2">
      <c r="A72" s="57"/>
      <c r="B72" s="60"/>
      <c r="C72" s="63"/>
      <c r="D72" s="63"/>
      <c r="E72" s="63"/>
      <c r="F72" s="80"/>
      <c r="G72" s="69"/>
      <c r="H72" s="57"/>
      <c r="I72" s="57"/>
      <c r="J72" s="9" t="s">
        <v>139</v>
      </c>
      <c r="K72" s="10">
        <v>1</v>
      </c>
      <c r="L72" s="11">
        <f>+K72/100%</f>
        <v>1</v>
      </c>
      <c r="M72" s="66"/>
    </row>
    <row r="73" spans="1:13" ht="108" customHeight="1" x14ac:dyDescent="0.2">
      <c r="A73" s="58"/>
      <c r="B73" s="61"/>
      <c r="C73" s="64"/>
      <c r="D73" s="64"/>
      <c r="E73" s="64"/>
      <c r="F73" s="81"/>
      <c r="G73" s="70"/>
      <c r="H73" s="58"/>
      <c r="I73" s="58"/>
      <c r="J73" s="9" t="s">
        <v>177</v>
      </c>
      <c r="K73" s="10">
        <v>0.47</v>
      </c>
      <c r="L73" s="11">
        <f>+K73/47%</f>
        <v>1</v>
      </c>
      <c r="M73" s="67"/>
    </row>
    <row r="74" spans="1:13" ht="358.5" customHeight="1" x14ac:dyDescent="0.2">
      <c r="A74" s="62" t="s">
        <v>178</v>
      </c>
      <c r="B74" s="72" t="s">
        <v>179</v>
      </c>
      <c r="C74" s="62" t="s">
        <v>48</v>
      </c>
      <c r="D74" s="74">
        <v>24256</v>
      </c>
      <c r="E74" s="74">
        <v>24256</v>
      </c>
      <c r="F74" s="74">
        <v>215607</v>
      </c>
      <c r="G74" s="68">
        <f>+F74/250000</f>
        <v>0.86242799999999997</v>
      </c>
      <c r="H74" s="62" t="s">
        <v>180</v>
      </c>
      <c r="I74" s="62" t="s">
        <v>181</v>
      </c>
      <c r="J74" s="33" t="s">
        <v>179</v>
      </c>
      <c r="K74" s="15">
        <v>215607</v>
      </c>
      <c r="L74" s="11">
        <f>+K74/250000</f>
        <v>0.86242799999999997</v>
      </c>
      <c r="M74" s="76" t="s">
        <v>203</v>
      </c>
    </row>
    <row r="75" spans="1:13" ht="345" customHeight="1" x14ac:dyDescent="0.2">
      <c r="A75" s="64"/>
      <c r="B75" s="73"/>
      <c r="C75" s="64"/>
      <c r="D75" s="75"/>
      <c r="E75" s="75"/>
      <c r="F75" s="75"/>
      <c r="G75" s="70"/>
      <c r="H75" s="64"/>
      <c r="I75" s="64"/>
      <c r="J75" s="33" t="s">
        <v>182</v>
      </c>
      <c r="K75" s="17">
        <v>5</v>
      </c>
      <c r="L75" s="34">
        <f>+K75/8</f>
        <v>0.625</v>
      </c>
      <c r="M75" s="78"/>
    </row>
    <row r="78" spans="1:13" x14ac:dyDescent="0.2">
      <c r="A78" s="71" t="s">
        <v>183</v>
      </c>
      <c r="B78" s="71"/>
      <c r="C78" s="71"/>
      <c r="D78" s="71"/>
      <c r="E78" s="71"/>
      <c r="F78" s="71"/>
      <c r="G78" s="71"/>
      <c r="H78" s="71"/>
      <c r="I78" s="71"/>
      <c r="J78" s="71"/>
      <c r="K78" s="71"/>
      <c r="L78" s="71"/>
      <c r="M78" s="71"/>
    </row>
    <row r="79" spans="1:13" ht="15" customHeight="1" x14ac:dyDescent="0.2">
      <c r="A79" s="71" t="s">
        <v>184</v>
      </c>
      <c r="B79" s="71"/>
      <c r="C79" s="71"/>
      <c r="D79" s="71"/>
      <c r="E79" s="71"/>
      <c r="F79" s="71"/>
      <c r="G79" s="71"/>
      <c r="H79" s="71"/>
      <c r="I79" s="71"/>
      <c r="J79" s="71"/>
      <c r="K79" s="71"/>
      <c r="L79" s="71"/>
      <c r="M79" s="71"/>
    </row>
    <row r="80" spans="1:13" x14ac:dyDescent="0.2">
      <c r="A80" s="110" t="s">
        <v>207</v>
      </c>
      <c r="B80" s="110"/>
      <c r="C80" s="110"/>
      <c r="D80" s="110"/>
      <c r="E80" s="110"/>
      <c r="F80" s="110"/>
      <c r="G80" s="110"/>
      <c r="H80" s="110"/>
      <c r="I80" s="110"/>
    </row>
  </sheetData>
  <mergeCells count="152">
    <mergeCell ref="A80:I80"/>
    <mergeCell ref="A1:D3"/>
    <mergeCell ref="E1:L3"/>
    <mergeCell ref="G4:M4"/>
    <mergeCell ref="A5:M5"/>
    <mergeCell ref="A7:A8"/>
    <mergeCell ref="B7:B8"/>
    <mergeCell ref="C7:F7"/>
    <mergeCell ref="G7:G8"/>
    <mergeCell ref="H7:H8"/>
    <mergeCell ref="I7:I8"/>
    <mergeCell ref="J7:J8"/>
    <mergeCell ref="K7:K8"/>
    <mergeCell ref="L7:L8"/>
    <mergeCell ref="M7:M8"/>
    <mergeCell ref="A9:A15"/>
    <mergeCell ref="B9:B11"/>
    <mergeCell ref="C9:C11"/>
    <mergeCell ref="D9:D11"/>
    <mergeCell ref="E9:E11"/>
    <mergeCell ref="F9:F11"/>
    <mergeCell ref="M9:M10"/>
    <mergeCell ref="B12:B14"/>
    <mergeCell ref="C12:C14"/>
    <mergeCell ref="D12:D14"/>
    <mergeCell ref="E12:E14"/>
    <mergeCell ref="F12:F14"/>
    <mergeCell ref="G12:G14"/>
    <mergeCell ref="H13:H14"/>
    <mergeCell ref="I13:I14"/>
    <mergeCell ref="M13:M14"/>
    <mergeCell ref="G9:G11"/>
    <mergeCell ref="H9:H10"/>
    <mergeCell ref="I9:I10"/>
    <mergeCell ref="J9:J10"/>
    <mergeCell ref="K9:K10"/>
    <mergeCell ref="L9:L10"/>
    <mergeCell ref="G16:G19"/>
    <mergeCell ref="A20:A21"/>
    <mergeCell ref="A22:A24"/>
    <mergeCell ref="B22:B24"/>
    <mergeCell ref="C22:C24"/>
    <mergeCell ref="D22:D24"/>
    <mergeCell ref="E22:E24"/>
    <mergeCell ref="F22:F24"/>
    <mergeCell ref="G22:G24"/>
    <mergeCell ref="A16:A19"/>
    <mergeCell ref="B16:B19"/>
    <mergeCell ref="C16:C19"/>
    <mergeCell ref="D16:D19"/>
    <mergeCell ref="E16:E19"/>
    <mergeCell ref="F16:F19"/>
    <mergeCell ref="G25:G27"/>
    <mergeCell ref="A28:A36"/>
    <mergeCell ref="B29:B30"/>
    <mergeCell ref="C29:C30"/>
    <mergeCell ref="D29:D30"/>
    <mergeCell ref="E29:E30"/>
    <mergeCell ref="F29:F30"/>
    <mergeCell ref="G29:G30"/>
    <mergeCell ref="A25:A27"/>
    <mergeCell ref="B25:B27"/>
    <mergeCell ref="C25:C27"/>
    <mergeCell ref="D25:D27"/>
    <mergeCell ref="E25:E27"/>
    <mergeCell ref="F25:F27"/>
    <mergeCell ref="I29:I30"/>
    <mergeCell ref="M29:M30"/>
    <mergeCell ref="B31:B35"/>
    <mergeCell ref="C31:C35"/>
    <mergeCell ref="D31:D35"/>
    <mergeCell ref="E31:E35"/>
    <mergeCell ref="F31:F35"/>
    <mergeCell ref="G31:G35"/>
    <mergeCell ref="I33:I35"/>
    <mergeCell ref="A37:A42"/>
    <mergeCell ref="B37:B39"/>
    <mergeCell ref="C37:C39"/>
    <mergeCell ref="D37:D39"/>
    <mergeCell ref="E37:E39"/>
    <mergeCell ref="F37:F39"/>
    <mergeCell ref="G37:G39"/>
    <mergeCell ref="H37:H38"/>
    <mergeCell ref="H29:H30"/>
    <mergeCell ref="I37:I38"/>
    <mergeCell ref="M37:M38"/>
    <mergeCell ref="B40:B42"/>
    <mergeCell ref="C40:C42"/>
    <mergeCell ref="D40:D42"/>
    <mergeCell ref="E40:E42"/>
    <mergeCell ref="F40:F42"/>
    <mergeCell ref="G40:G42"/>
    <mergeCell ref="H34:H35"/>
    <mergeCell ref="M34:M35"/>
    <mergeCell ref="G43:G46"/>
    <mergeCell ref="A47:A58"/>
    <mergeCell ref="B47:B58"/>
    <mergeCell ref="C47:C58"/>
    <mergeCell ref="D47:D58"/>
    <mergeCell ref="E47:E58"/>
    <mergeCell ref="A43:A46"/>
    <mergeCell ref="B43:B46"/>
    <mergeCell ref="C43:C46"/>
    <mergeCell ref="D43:D46"/>
    <mergeCell ref="E43:E46"/>
    <mergeCell ref="F43:F46"/>
    <mergeCell ref="F47:F73"/>
    <mergeCell ref="A79:M79"/>
    <mergeCell ref="A74:A75"/>
    <mergeCell ref="B74:B75"/>
    <mergeCell ref="C74:C75"/>
    <mergeCell ref="D74:D75"/>
    <mergeCell ref="E74:E75"/>
    <mergeCell ref="F74:F75"/>
    <mergeCell ref="H59:H63"/>
    <mergeCell ref="I59:I63"/>
    <mergeCell ref="M59:M63"/>
    <mergeCell ref="H64:H65"/>
    <mergeCell ref="I64:I65"/>
    <mergeCell ref="H66:H67"/>
    <mergeCell ref="I66:I67"/>
    <mergeCell ref="M66:M67"/>
    <mergeCell ref="G74:G75"/>
    <mergeCell ref="H74:H75"/>
    <mergeCell ref="I74:I75"/>
    <mergeCell ref="M74:M75"/>
    <mergeCell ref="A78:M78"/>
    <mergeCell ref="M64:M65"/>
    <mergeCell ref="A59:A73"/>
    <mergeCell ref="B59:B73"/>
    <mergeCell ref="C59:C73"/>
    <mergeCell ref="D59:D73"/>
    <mergeCell ref="E59:E73"/>
    <mergeCell ref="H71:H73"/>
    <mergeCell ref="I71:I73"/>
    <mergeCell ref="M71:M73"/>
    <mergeCell ref="H69:H70"/>
    <mergeCell ref="I69:I70"/>
    <mergeCell ref="M69:M70"/>
    <mergeCell ref="G47:G73"/>
    <mergeCell ref="M50:M52"/>
    <mergeCell ref="H53:H54"/>
    <mergeCell ref="I53:I54"/>
    <mergeCell ref="M53:M54"/>
    <mergeCell ref="H55:H58"/>
    <mergeCell ref="I55:I58"/>
    <mergeCell ref="M55:M58"/>
    <mergeCell ref="H47:H49"/>
    <mergeCell ref="I47:I49"/>
    <mergeCell ref="M47:M49"/>
    <mergeCell ref="H50:H52"/>
    <mergeCell ref="I50:I5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Portada</vt:lpstr>
      <vt:lpstr>Seguim PAI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Isabel Prieto Alzate</dc:creator>
  <cp:lastModifiedBy>Diana Paola Yate Virgues</cp:lastModifiedBy>
  <dcterms:created xsi:type="dcterms:W3CDTF">2017-01-27T18:29:11Z</dcterms:created>
  <dcterms:modified xsi:type="dcterms:W3CDTF">2017-06-20T14:57:27Z</dcterms:modified>
</cp:coreProperties>
</file>