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autoCompressPictures="0"/>
  <mc:AlternateContent xmlns:mc="http://schemas.openxmlformats.org/markup-compatibility/2006">
    <mc:Choice Requires="x15">
      <x15ac:absPath xmlns:x15ac="http://schemas.microsoft.com/office/spreadsheetml/2010/11/ac" url="C:\Users\galba\Desktop\2020\MINCIENCIAS\AUDITORIAS Y SEGUIMIENTOS 2020\SEGUIMIENTOS 2020\JG SEGUIM PEI\"/>
    </mc:Choice>
  </mc:AlternateContent>
  <xr:revisionPtr revIDLastSave="0" documentId="13_ncr:1_{3124A687-FE76-465A-8B8C-C35B6206916E}" xr6:coauthVersionLast="44" xr6:coauthVersionMax="44" xr10:uidLastSave="{00000000-0000-0000-0000-000000000000}"/>
  <bookViews>
    <workbookView xWindow="-120" yWindow="-120" windowWidth="20730" windowHeight="11160" activeTab="1" xr2:uid="{00000000-000D-0000-FFFF-FFFF00000000}"/>
  </bookViews>
  <sheets>
    <sheet name="RESUMEN VERSIONES" sheetId="5" r:id="rId1"/>
    <sheet name="SEGUIMIENTO PEI REV" sheetId="4" r:id="rId2"/>
    <sheet name="COMENTARIOS SEGUIMIENTO OAP" sheetId="3" state="hidden" r:id="rId3"/>
  </sheets>
  <definedNames>
    <definedName name="_xlnm._FilterDatabase" localSheetId="1" hidden="1">'SEGUIMIENTO PEI REV'!$B$9:$Z$52</definedName>
    <definedName name="_xlnm.Print_Area" localSheetId="2">'COMENTARIOS SEGUIMIENTO OAP'!$A$1:$U$37</definedName>
    <definedName name="_xlnm.Print_Area" localSheetId="1">'SEGUIMIENTO PEI REV'!$B$1:$N$52</definedName>
    <definedName name="_xlnm.Print_Titles" localSheetId="2">'COMENTARIOS SEGUIMIENTO OAP'!$1:$8</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V14" i="4" l="1"/>
  <c r="V51" i="4"/>
  <c r="V48" i="4"/>
  <c r="V46" i="4"/>
  <c r="V44" i="4"/>
  <c r="V41" i="4"/>
  <c r="V25" i="4"/>
  <c r="V37" i="4"/>
  <c r="V34" i="4"/>
  <c r="V32" i="4"/>
  <c r="V30" i="4"/>
  <c r="V23" i="4"/>
  <c r="S51" i="4"/>
  <c r="S48" i="4"/>
  <c r="S46" i="4"/>
  <c r="S44" i="4"/>
  <c r="S41" i="4"/>
  <c r="S37" i="4"/>
  <c r="S34" i="4"/>
  <c r="S32" i="4"/>
  <c r="S30" i="4"/>
  <c r="S27" i="4"/>
  <c r="S25" i="4"/>
  <c r="S23" i="4"/>
  <c r="P51" i="4"/>
  <c r="P48" i="4"/>
  <c r="P46" i="4"/>
  <c r="P44" i="4"/>
  <c r="P41" i="4"/>
  <c r="P37" i="4"/>
  <c r="P34" i="4"/>
  <c r="P32" i="4"/>
  <c r="P30" i="4"/>
  <c r="P27" i="4"/>
  <c r="P25" i="4"/>
  <c r="P23" i="4"/>
  <c r="V21" i="4"/>
  <c r="S21" i="4"/>
  <c r="P21" i="4"/>
  <c r="P19" i="4"/>
  <c r="P12" i="4"/>
  <c r="V39" i="4"/>
  <c r="S39" i="4"/>
  <c r="P39" i="4"/>
  <c r="V27" i="4"/>
  <c r="V19" i="4"/>
  <c r="V10" i="4"/>
  <c r="S10" i="4"/>
  <c r="P10" i="4"/>
  <c r="S19" i="4"/>
  <c r="S16" i="4"/>
  <c r="V16" i="4"/>
  <c r="P16" i="4"/>
  <c r="V12" i="4"/>
  <c r="S12" i="4"/>
  <c r="D18" i="3"/>
  <c r="E12" i="3"/>
  <c r="D11" i="4"/>
  <c r="M49" i="4"/>
  <c r="I17" i="4"/>
  <c r="C11" i="4"/>
  <c r="C52" i="4"/>
  <c r="C24" i="4"/>
  <c r="C17" i="4"/>
  <c r="D52" i="4"/>
  <c r="D24" i="4"/>
  <c r="D17" i="4"/>
  <c r="M47" i="4"/>
  <c r="M40" i="4"/>
  <c r="M38" i="4"/>
  <c r="M33" i="4"/>
  <c r="M26" i="4"/>
  <c r="M20" i="4"/>
  <c r="H31" i="4"/>
</calcChain>
</file>

<file path=xl/sharedStrings.xml><?xml version="1.0" encoding="utf-8"?>
<sst xmlns="http://schemas.openxmlformats.org/spreadsheetml/2006/main" count="244" uniqueCount="163">
  <si>
    <t>OBJETIVO</t>
  </si>
  <si>
    <t>INDICADORES ESTRATEGICOS</t>
  </si>
  <si>
    <t>Línea Base</t>
  </si>
  <si>
    <t>ÁREA RESPONSABLE</t>
  </si>
  <si>
    <t>Cuatrienio</t>
  </si>
  <si>
    <t>Dirección de Desarrollo Tecnológico e Innovación</t>
  </si>
  <si>
    <t>VERSION</t>
  </si>
  <si>
    <t>OBSERVACIONES
OCI</t>
  </si>
  <si>
    <t>Version</t>
  </si>
  <si>
    <t>Dia</t>
  </si>
  <si>
    <t>Mes</t>
  </si>
  <si>
    <t>Año</t>
  </si>
  <si>
    <t xml:space="preserve">MATRIZ DE SEGUIMIENTO PLAN ESTRATÉGICO INSTITUCIONAL </t>
  </si>
  <si>
    <r>
      <rPr>
        <b/>
        <sz val="12"/>
        <color theme="1"/>
        <rFont val="Segoe UI"/>
        <family val="2"/>
      </rPr>
      <t xml:space="preserve">CÓDIGO: </t>
    </r>
    <r>
      <rPr>
        <sz val="12"/>
        <color theme="1"/>
        <rFont val="Segoe UI"/>
        <family val="2"/>
      </rPr>
      <t>G101PR01F14</t>
    </r>
  </si>
  <si>
    <r>
      <rPr>
        <b/>
        <sz val="12"/>
        <color theme="1"/>
        <rFont val="Segoe UI"/>
        <family val="2"/>
      </rPr>
      <t>VERSIÓN:</t>
    </r>
    <r>
      <rPr>
        <sz val="12"/>
        <color theme="1"/>
        <rFont val="Segoe UI"/>
        <family val="2"/>
      </rPr>
      <t xml:space="preserve"> 02</t>
    </r>
  </si>
  <si>
    <r>
      <rPr>
        <b/>
        <sz val="12"/>
        <color theme="1"/>
        <rFont val="Segoe UI"/>
        <family val="2"/>
      </rPr>
      <t xml:space="preserve">FECHA: </t>
    </r>
    <r>
      <rPr>
        <sz val="12"/>
        <color theme="1"/>
        <rFont val="Segoe UI"/>
        <family val="2"/>
      </rPr>
      <t>2017-11-01</t>
    </r>
  </si>
  <si>
    <t>Objetivo estratégico</t>
  </si>
  <si>
    <t>Indicador Estratégico</t>
  </si>
  <si>
    <t>Frecuencia de medición</t>
  </si>
  <si>
    <t>Línea de base</t>
  </si>
  <si>
    <t>Meta cuatrienio</t>
  </si>
  <si>
    <t>Avance Meta Cuatrienio</t>
  </si>
  <si>
    <t>% de avance de meta cuatrienio</t>
  </si>
  <si>
    <t>Área responsable</t>
  </si>
  <si>
    <t>I</t>
  </si>
  <si>
    <t>II</t>
  </si>
  <si>
    <t>III</t>
  </si>
  <si>
    <t>IV</t>
  </si>
  <si>
    <t>Versiones Plan Estrategico Institucional 2019-2022</t>
  </si>
  <si>
    <t>Consolidar la institucionalidad y gobernanza de Colciencias como rector del SNCTeI en articulación con el SNCCTeI</t>
  </si>
  <si>
    <t>Fortalecer la investigación y producción científica y tecnológica con calidad internacional</t>
  </si>
  <si>
    <t>Fomentar la formación del capital humano en CTeI y vincularlo a Entidades del SNCTeI</t>
  </si>
  <si>
    <t>Impulsar la innovación y el desarrollo tecnológico para la transformación social y productiva</t>
  </si>
  <si>
    <t>Generar una cultura que valore, gestione y apropie la CTeI</t>
  </si>
  <si>
    <t xml:space="preserve">Conservar y usar sosteniblemente la biodiversidad por medio de la CTeI para contribuir al desarrollo de la Bioeconomía en Colombia </t>
  </si>
  <si>
    <t>Fomentar una Colciencias Integral, Efectiva e Innovadora (IE+i)</t>
  </si>
  <si>
    <t>Relación de recursos Colciencias vs los recursos del Sector Privado y entidades de Gobierno</t>
  </si>
  <si>
    <t>Aprobación de recursos por año en el Fondo de Ciencia, Tecnología e Innovación del SGR</t>
  </si>
  <si>
    <t>Porcentaje de asignación del cupo de
inversión para deducción y descuento tributario</t>
  </si>
  <si>
    <t>Programas y Proyectos de CTeI apoyados</t>
  </si>
  <si>
    <t xml:space="preserve">Artículos científicos publicados por investigadores colombianos en revistas científicas especializadas </t>
  </si>
  <si>
    <t>(Citaciones de impacto en producción científica y colaboración internacional)</t>
  </si>
  <si>
    <t>Niños, niñas y adolescentes y certificados en procesos de fortalecimiento de sus capacidades en investigación y creación a través del Programa Ondas y sus entidades aliadas</t>
  </si>
  <si>
    <t>Jóvenes investigadores e innovadores apoyados por Colciencias y aliados (jóvenes investigadores tradicional, Nexo Global y Jóvenes Talento)</t>
  </si>
  <si>
    <t>Becas, créditos beca para la formación de doctores apoyadas por Colciencias y aliados.</t>
  </si>
  <si>
    <t>Estancias posdoctorales apoyadas por
Colciencias y aliados.</t>
  </si>
  <si>
    <t>Organizaciones articuladas en los Pactos por la innovación (contenido de empresas, entidades, organizaciones firmantes del pacto/s)</t>
  </si>
  <si>
    <t>Empresas con capacidades en gestión de innovación</t>
  </si>
  <si>
    <t>Registro de solicitudes de patentes por residentes en Oficina Nacional</t>
  </si>
  <si>
    <t>Acuerdos de transferencia de tecnología y/o conocimiento</t>
  </si>
  <si>
    <t>Número de espacios que promueven la 
Interacción de la sociedad con la CTeI</t>
  </si>
  <si>
    <t>No. de comunidades y/o grupos de interés que se fortalecen a través de procesos de Apropiación Social de Conocimiento y cultura científica</t>
  </si>
  <si>
    <t>Bioproductos registrados por el Programa Colombia Bio</t>
  </si>
  <si>
    <t xml:space="preserve">Expediciones Científicas Nacionales </t>
  </si>
  <si>
    <t>Índice ATM</t>
  </si>
  <si>
    <t>1:2</t>
  </si>
  <si>
    <t>0.88</t>
  </si>
  <si>
    <t>ND</t>
  </si>
  <si>
    <t>1:3</t>
  </si>
  <si>
    <t>Presupuesto Plan Plurianual de Inversiones
 VERSION 3</t>
  </si>
  <si>
    <t>Subidrección General</t>
  </si>
  <si>
    <t>Dirección de Fomento a la Investigación
Dirección de Mentalidad y Cultura</t>
  </si>
  <si>
    <t>Dirección de Mentalidd y Cultura</t>
  </si>
  <si>
    <t>Dirección de Desarrollo Tecnológico e Innovación/ Equipo Colombia Bio</t>
  </si>
  <si>
    <t>Programas y Proyectos de CTeI</t>
  </si>
  <si>
    <t>0.89</t>
  </si>
  <si>
    <t>V1-V2</t>
  </si>
  <si>
    <t>V1</t>
  </si>
  <si>
    <t>V2</t>
  </si>
  <si>
    <t>Presupuesto Plan Plurianual
de Inversiones</t>
  </si>
  <si>
    <t>Oficina Asesora de Planeación
Dirección Administrativa y Financiera
Secretaría General
Oficina de Control Interno
Equipo de Comunicaciones
Oficina de Tecnologías de Información y Comunicaciones</t>
  </si>
  <si>
    <t>SEGUIMIENTO TRIMESTRAL PLAN ESTRATÉGICO INSTITUCIONAL 2019-2022</t>
  </si>
  <si>
    <t>Enero</t>
  </si>
  <si>
    <t>Marzo</t>
  </si>
  <si>
    <t>Las cifras establecidas para el presupuesto plurianual de inversiones se toman a partir de 2020, según lo establecido en el marco de gasto de mediano plazo 2019-2022.
Teniendo en cuenta el MGMP 2019-2022, a partir de 2020 los montos designados alcanzan para cubrir los compromisos de vigencias futuras, Colfuturo y FIS.</t>
  </si>
  <si>
    <t>Meta
2019</t>
  </si>
  <si>
    <t>Resultado 2020</t>
  </si>
  <si>
    <t>Meta
2020</t>
  </si>
  <si>
    <t>Meta
2021</t>
  </si>
  <si>
    <t>Resultado 2021</t>
  </si>
  <si>
    <t>Meta
2022</t>
  </si>
  <si>
    <t>Avance Trimestral  2019</t>
  </si>
  <si>
    <t>% de avance de la meta 2019</t>
  </si>
  <si>
    <t>Observaciones de Seguimiento
Tercer trimestre de 2019</t>
  </si>
  <si>
    <t>Resultado 2022</t>
  </si>
  <si>
    <t>2,560.00</t>
  </si>
  <si>
    <t xml:space="preserve">5,517.00	</t>
  </si>
  <si>
    <t>1.21</t>
  </si>
  <si>
    <t>100.00%</t>
  </si>
  <si>
    <t>Cumplimiento 31/12/2019</t>
  </si>
  <si>
    <t>12,388.00</t>
  </si>
  <si>
    <t>.89</t>
  </si>
  <si>
    <t>3,776.00</t>
  </si>
  <si>
    <t>953.00</t>
  </si>
  <si>
    <t>201.00</t>
  </si>
  <si>
    <t>600.00</t>
  </si>
  <si>
    <t>487.00</t>
  </si>
  <si>
    <t>315.00</t>
  </si>
  <si>
    <t>18.00</t>
  </si>
  <si>
    <t>43.00</t>
  </si>
  <si>
    <t>13.00</t>
  </si>
  <si>
    <t>16.00</t>
  </si>
  <si>
    <t>1.00</t>
  </si>
  <si>
    <t>25.00%</t>
  </si>
  <si>
    <t>96.57%</t>
  </si>
  <si>
    <t>(Recursos Contrapartidas DDTI * Rel_Recursos_Colciencias_DDTI_2019 + Recursos Contrapartidas DFI * Rel_Recursos_Colciencias_DFI_2019) / Total Recursos Contrapartidas</t>
  </si>
  <si>
    <t>(Número de recursos aprobados en el periodo / Total de recursos para el periodo) X 100</t>
  </si>
  <si>
    <t>(Valor de los recursos aprobados en el periodo / Valor total de recursos asignados para la vigencia) X 100</t>
  </si>
  <si>
    <t>Sumatoria de los proyectos de investigación, desarrollo tecnológico e innovación financiados con recursos de Colciencias y otros actores del SNCTeI a través de los diferentes instrumentos definidos en la vigencia que se financian desde las diferentes estrategias.</t>
  </si>
  <si>
    <t>Sumatoria del número de artículos de alto impacto publicados por investigadores colombianos en bases de datos y revistas especializadas (bases bibliográficas de Web of Science, Scopus, Index Medicus y Psyc INFO) y que reportan como producción científica en la plataforma SCienTI de Colciencias</t>
  </si>
  <si>
    <t>Cálculo de las Citaciones de impacto en producción científica y colaboración internacional.</t>
  </si>
  <si>
    <t>Sumatoria de los niños, niñas y jóvenes certificados que que por su interés por la investigación y el desarrollo de actitudes y habilidades se insertan activamente y por un periodo determinado en una cultura de la ciencia, la tecnología y la innovación.</t>
  </si>
  <si>
    <t>Sumatoria de los jóvenes resultado de las siguientes iniciativas: convocatoria de conectado conocimiento, jóvenes investigadores e innovadores, convocatoria de innovación, fortalecimiento de centros autónomos con jóvenes investigadores, con las regiones, nexo global, concurso Otto de Greiff y nexo global con industrial creativas.</t>
  </si>
  <si>
    <t>Sumatoria de los beneficiarios de becas, créditos beca para la formación de doctores apoyadas por Colciencias y aliados en las siguientes inciaitivas becas de excelencia doctoral del bicentenario, las becas con aliados como Colfuturo y Fulbright, becas de doctorado para las regiones.</t>
  </si>
  <si>
    <t>Sumatoria de los beneficiarios para realizar estancias post doctorales a fin de fortalecer y aumentar la base de recurso humano disponible para la investigación y la innovación del país.</t>
  </si>
  <si>
    <t>Sumatoria de las Organizaciones articuladas en los Pactos por la innovación.</t>
  </si>
  <si>
    <t>Sumatoria de las empresas en gestion de innovacion de las siguientes iniciativas: pacto por la innovación, alianzas por la innovación, sistemas de la innovación, proyecto oferta institucional de innovacion empresarial de las regiones, empresas apoyadas con la financiación de proyectos de I+D+i.</t>
  </si>
  <si>
    <t>Sumatoria de las solicitudes de patentes de la Convocatoria Nacional para apoyar a la presentación de patentes vía nacional y vía PCT, y apoyo a la gestión de Propiedad Intelectual.</t>
  </si>
  <si>
    <t xml:space="preserve">Sumatoria de las iniciativas convocatoria para el apoyo de proyectos de desarrollo y validació;n comercial de prototipos funcionales de tecnologías de alto riesgo tecnológico y alto potencial comercial y la iniciativa de apoyo y fortalecimiento para la creación de empresas de base científica, tecnológica e innovación. </t>
  </si>
  <si>
    <t>Sumatoria de dos variables: los espacios que se generan desde la iniciativa de activaciones regionales con el indicador 050102 - Espacios que promueven la Interacción de la sociedad con la CTeI y la otra desde la iniciativa de proyectos especiales con el indicador 050104 - Espacios que promueven la Interacción de la sociedad con la CTeI</t>
  </si>
  <si>
    <t>Sumatoria de las Comunidades y/o grupos de interés que se fortalecen a través de procesos de Apropiación Social de Conocimiento y cultura científica por medio de la iniciativa de Ideas para el cambio.</t>
  </si>
  <si>
    <t>Sumatoria de los productos comercializables, que estuvieron basados en el aprovechamiento sostenible de la biodiversidad colombiana mediante la articulación de diferentes actores del SNCTeI resultado de la Convocatoria de Bioproductos del programa Colombia BIO</t>
  </si>
  <si>
    <t>Sumatoria de las expediciones realizadas en diversas regiones del país por medio de la conformación de diferentes actores del SNCTeI.</t>
  </si>
  <si>
    <t>((Cumplimiento en la reducción de tiempos, requisitos o documentos en procedimientos seleccionados X 15%) + (Avance en el plan de racionalización de trámites X 15%) + (Cumplimiento de los requisitos de transparencia en Colciencias X 40%) + (Cumplimiento de los requisitos de Gobierno Digital en Colciencias X 30%)</t>
  </si>
  <si>
    <t>DESCRIPCIÓN DE LA FÓRMULA</t>
  </si>
  <si>
    <t>Subidrección General
Dirección de Fomento a la Investigación
Dirección de Desarrollo Tecnológico e Innovación
Dirección de Mentalidad y Cultura</t>
  </si>
  <si>
    <t>Dirección General/Gestión Territorial</t>
  </si>
  <si>
    <t>20,3%
Esto teniendo en cuenta el cupo establecido para el cuatrienio: $4,8 billones</t>
  </si>
  <si>
    <t>Dirección de Desarrollo Tecnoógico e Innovación</t>
  </si>
  <si>
    <t>Dirección de Fomento a la Investigación</t>
  </si>
  <si>
    <t>Dirección de Mentalidad y Cultura</t>
  </si>
  <si>
    <t>Dirección de Desarrollo Tecnológico e Innovación/Equipo Colombia Bio</t>
  </si>
  <si>
    <t>Secretaria General (Atención al Ciudadano/Talento Humano)
Oficina Asesora de Planeación
Equipo de Comunicaciones
Oficina TIC
Oficina de Control Interno</t>
  </si>
  <si>
    <t>Resultado 2019</t>
  </si>
  <si>
    <t>DATOS GINA</t>
  </si>
  <si>
    <t>METAS (Versiones pag WEB Minciencias)</t>
  </si>
  <si>
    <t>Diferencias encontradas</t>
  </si>
  <si>
    <t>Avance 2019</t>
  </si>
  <si>
    <t>Cambios realizados entre versiones del plan</t>
  </si>
  <si>
    <t>XXXX Nota sobre cumplimiento de Metas.</t>
  </si>
  <si>
    <t>No aplica</t>
  </si>
  <si>
    <t xml:space="preserve">93.38%
</t>
  </si>
  <si>
    <r>
      <t xml:space="preserve">635.00
</t>
    </r>
    <r>
      <rPr>
        <sz val="11"/>
        <color rgb="FFFFC000"/>
        <rFont val="Segoe UI"/>
        <family val="2"/>
      </rPr>
      <t xml:space="preserve">
</t>
    </r>
    <r>
      <rPr>
        <sz val="11"/>
        <color theme="0"/>
        <rFont val="Segoe UI"/>
      </rPr>
      <t>Reportado en GINA 635 a 31/12/2019</t>
    </r>
  </si>
  <si>
    <r>
      <t xml:space="preserve">100.00%
</t>
    </r>
    <r>
      <rPr>
        <sz val="11"/>
        <color rgb="FFFF0000"/>
        <rFont val="Segoe UI"/>
        <family val="2"/>
      </rPr>
      <t>Cumplimiento de 101,7%</t>
    </r>
    <r>
      <rPr>
        <sz val="11"/>
        <color theme="1"/>
        <rFont val="Segoe UI"/>
        <family val="2"/>
      </rPr>
      <t xml:space="preserve"> </t>
    </r>
  </si>
  <si>
    <t>OFICINA DE CONTROL INTERNO
SEGUIMIENTO A CUMPLIMIENTO AL PLAN ESTRATEGICO INSTITUCIONAL (PEI) 2019-2022</t>
  </si>
  <si>
    <t>El presente informe contiene el seguimiento al cumplimiento de Plan Estrategico Institucional 2019 -2020, incluyendo el seguimiento a la ejecucion de cada indicador con corte a 31 de diciembre de 2019. 
En total el Plan Estrategico Institucional lleva 2 versiones en el cuatrenio a corte de 31 de diciembre de 2019, como se observa en la tabla.</t>
  </si>
  <si>
    <t>Valor de avance 2019 en plataforma Gina (487) (31/dic/2019) diferente a MATRIZ DE SEGUIMIENTO PLAN ESTRATÉGICO INSTITUCIONAL (479) Publicado en pagina WEB de Minciencias</t>
  </si>
  <si>
    <t>MATRIZ DE SEGUIMIENTO PLAN ESTRATÉGICO INSTITUCIONAL</t>
  </si>
  <si>
    <t xml:space="preserve">Se mide de acuerdo a lo asignado al bienio 2021-2023
</t>
  </si>
  <si>
    <t>Se mide de acuerdo a lo asignado al bienio 2021-2022</t>
  </si>
  <si>
    <t xml:space="preserve">100%
</t>
  </si>
  <si>
    <t>Valor de cumplimiento igual o mayor al 95% y menor o igual al 100%, corresponde a un comportamiento o desempeño satisfactorio"</t>
  </si>
  <si>
    <r>
      <t xml:space="preserve">Dato de valor avance en plataforma Gina (315) desactualizado (30/sep/2019) y diferente a MATRIZ DE SEGUIMIENTO PLAN ESTRATÉGICO INSTITUCIONAL (375) Publicado en pagina WEB de Minciencias. 
</t>
    </r>
    <r>
      <rPr>
        <sz val="12"/>
        <rFont val="Segoe UI"/>
        <family val="2"/>
      </rPr>
      <t>Retroliamentacion OAP: "El dato registrado en el módulo de indicadore de GINA registraba el reporte por parte de los responsables con corte a 30 de septiembre  de 2019;  ",  "el informe de radicaciones de solicitudes de patente es emitido directamente por la Superintendencia de Industria y Comercio (SIC)
El último reporte se registró en el módulo de planes de GINA con corte a octubre de 2019. Se evidenció que con corte a 31 de diciembre, la SIC no allegó a Minciencias el informe del período mencionado. De esta manera y con el propósito de actualizar a la fecha de emisión del seguimiento del Plan Estratégico  Institucional, se incluyó el reporte a octubre tal cual como se describe en las observaciones del seguimiento."
"Incluso vale señalar que la SIC a finales de marzo de 2020 emitió el informe de solicitudes con corte a 31 de diciembre de 2019, cuyo resultado registra un total de 422 solicitudes de patentes por residentes en Oficina Nacional colombiana y en GINA el pasado 3 de abril los responsables de la Dirección de Transferencia y Uso del Conocimiento (antes Dirección de Desarrollo Tecnológico e Innovación) consignaron el respectivo dato en el módulo de indicadores de GINA."
La Oficina Asesora de Planeación informó a la Dirección Técnica la necesidad de registrar el dato en el módulo planes coherente con el dato incluido en el módulo indicadores "422"</t>
    </r>
  </si>
  <si>
    <r>
      <t xml:space="preserve">Valor de Meta 2019 en PEI publicado en pagina WEB (25) es diferente a valor indicado en MATRIZ DE SEGUIMIENTO PLAN ESTRATÉGICO INSTITUCIONAL (11). 
Valor de Meta del cuatrenio en PEI publicado en  pagina WEB (111) es diferente a valor indicado en MATRIZ DE SEGUIMIENTO PLAN ESTRATÉGICO INSTITUCIONAL (125)
</t>
    </r>
    <r>
      <rPr>
        <sz val="12"/>
        <rFont val="Segoe UI"/>
        <family val="2"/>
      </rPr>
      <t>Retroliamentacion OAP: La meta corresponde a 111 espacios; esto posterior a un ajuste en segunda versión  del Plan Estratégico Institucional</t>
    </r>
  </si>
  <si>
    <r>
      <t xml:space="preserve">Se muestra atrazo en cumplimiento de Meta.
</t>
    </r>
    <r>
      <rPr>
        <sz val="11"/>
        <rFont val="Segoe UI"/>
        <family val="2"/>
      </rPr>
      <t>Retroliamentacion OAP: El Programa de Colombia Bio no se logró cumpliimiento en la meta proyectada para 2019, Esto debido a que en 2019 sólo se realizó una expedición en Providencia y Santa Catalina liderada por la Comisión Colombiana del Océano, cuya ejecución comenzó el 13 de noviembre de 2019 con una duración de 18 meses. Así mismo, fueron aprobadas las siguientes expediciones para iniciar en 2020: la Expedición histórica Chapman, bases para el desarrollo del aviturismo en Colombia, y que contempla el desarrollo de 5 expediciones, la Expedición Bocas de Sanquianga y la Expedición Binacional (Perú-Colombia).</t>
    </r>
  </si>
  <si>
    <t>Valor en casilla de avance de cuatrenio contiene el avance del tercer trimestre de 2019 (52,04% con corte a 31 de diciembre 2019) tomado de la MATRIZ DE SEGUIMIENTO PLAN ESTRATÉGICO INSTITUCIONAL. valor del indicador de cumplimiento del cuarto trimestre es 100% a corte de 31de diciembre</t>
  </si>
  <si>
    <t>Valor de avance de cuatrenio (8825) y % tomado de MATRIZ DE SEGUIMIENTO PLAN ESTRATÉGICO INSTITUCIONAL corresponde al avance del tercer trimestre de 2019 y no a 31-12-2019</t>
  </si>
  <si>
    <r>
      <t xml:space="preserve">Valor en plataforma Gina (635 a 31/12/2019) diferente de valor indicado en MATRIZ DE SEGUIMIENTO PLAN ESTRATÉGICO INSTITUCIONAL (641) Publicado en pagina WEB de Minciencias.
</t>
    </r>
    <r>
      <rPr>
        <sz val="12"/>
        <rFont val="Segoe UI"/>
        <family val="2"/>
      </rPr>
      <t>Retroliamentacion OAP: "se presentó un ajuste del dato en el aplicativo GINA, quie se dió posterior a la fecha de publicación del informe de seguimiento al Plan Estratégico Institucional con corte al 31 de diciembre de 2019, asociado principalmente al ajuste del banco de financiables de la Convocatoria de Conectando Conocimiento.2019.
La solicitud de ajsute se llevó a cabo a mediados de marzo  por parte de la Dirección de Vocaciones y Formación de CTeI y radicó en una novedad en el banco de Financiables de la Convocatoria Conectando Conocimiento 852, ajustando el número de jóvenes registrados en su momento de  180 a 174; es decir 6 jóvenes menos del mapeo total de cada una de las estrategias que en principio daba cuenta de un total de 641 jóvénes."</t>
    </r>
  </si>
  <si>
    <t>Valor de avance de cuatrenio (693) y %  tomado MATRIZ DE SEGUIMIENTO PLAN ESTRATÉGICO INSTITUCIONAL corresponde al avance del tercer trimestre de 2019. y no a 31-12-2019.</t>
  </si>
  <si>
    <t>Nota (Oficina de Control Interno): El presente Informe de Seguimiento, mantiene las observaciones realizadas en su presentación preliminar remitida a la OAPII, respecto al cumplimiento de metas y diferencias entre datos publicados en la plataforma GINA, el Plan Estratégico Institucional V2 publicado en la pag WEB de Minciencias y la MATRIZ DE SEGUIMIENTO PLAN ESTRATÉGICO INSTITUCIONAL con corte a 31 de diciembre de 2019. Se incluye la retroalimentación recibida por parte de la OAPII, en donde se confirma que las modificaciones a la informacion de ejecucion del Plan se efectuaron despues del 31-12-2019 que correspondio a la fecha de corte para la toma de informacion para este Informe, en consecuencia no puden ser tenidas en cuenta.</t>
  </si>
  <si>
    <r>
      <t xml:space="preserve">
</t>
    </r>
    <r>
      <rPr>
        <b/>
        <sz val="14"/>
        <color theme="1"/>
        <rFont val="Calibri"/>
        <family val="2"/>
        <scheme val="minor"/>
      </rPr>
      <t xml:space="preserve">
OFICINA DE CONTROL INTERNO
SEGUIMIENTO AL CUMPLIMIENTO DEL PLAN ESTRATEGICO INSTITUCIONAL
2019-2022
 CORTE 31 DE DICIEMBRE DE 2019
</t>
    </r>
  </si>
  <si>
    <t>FECHA DE  CORTE 31 -12 - 2019</t>
  </si>
  <si>
    <t>INFORME DEFINITIVO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</si>
</sst>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_-&quot;$&quot;* #,##0_-;\-&quot;$&quot;* #,##0_-;_-&quot;$&quot;* &quot;-&quot;????_-;_-@_-"/>
    <numFmt numFmtId="166" formatCode="&quot;$&quot;#,##0"/>
    <numFmt numFmtId="167" formatCode="&quot;$&quot;#,##0.00"/>
    <numFmt numFmtId="168" formatCode="0.0%"/>
  </numFmts>
  <fonts count="35" x14ac:knownFonts="1">
    <font>
      <sz val="11"/>
      <color theme="1"/>
      <name val="Calibri"/>
      <family val="2"/>
      <scheme val="minor"/>
    </font>
    <font>
      <sz val="11"/>
      <color theme="1"/>
      <name val="Calibri"/>
      <family val="2"/>
      <scheme val="minor"/>
    </font>
    <font>
      <sz val="11"/>
      <color theme="1"/>
      <name val="Arial"/>
      <family val="2"/>
    </font>
    <font>
      <b/>
      <sz val="11"/>
      <name val="Arial"/>
      <family val="2"/>
    </font>
    <font>
      <b/>
      <sz val="11"/>
      <color indexed="9"/>
      <name val="Arial"/>
      <family val="2"/>
    </font>
    <font>
      <sz val="10"/>
      <color theme="1"/>
      <name val="Arial"/>
      <family val="2"/>
    </font>
    <font>
      <b/>
      <sz val="18"/>
      <color indexed="9"/>
      <name val="Arial"/>
      <family val="2"/>
    </font>
    <font>
      <b/>
      <sz val="12"/>
      <color theme="1"/>
      <name val="Calibri"/>
      <family val="2"/>
      <scheme val="minor"/>
    </font>
    <font>
      <b/>
      <sz val="14"/>
      <color theme="1"/>
      <name val="Calibri"/>
      <family val="2"/>
      <scheme val="minor"/>
    </font>
    <font>
      <sz val="12"/>
      <color theme="1"/>
      <name val="Segoe UI"/>
      <family val="2"/>
    </font>
    <font>
      <b/>
      <sz val="14"/>
      <color theme="1"/>
      <name val="Segoe UI"/>
      <family val="2"/>
    </font>
    <font>
      <b/>
      <sz val="12"/>
      <color theme="1"/>
      <name val="Segoe UI"/>
      <family val="2"/>
    </font>
    <font>
      <sz val="12"/>
      <name val="Segoe UI"/>
      <family val="2"/>
    </font>
    <font>
      <b/>
      <sz val="12"/>
      <name val="Segoe UI"/>
      <family val="2"/>
    </font>
    <font>
      <b/>
      <sz val="16"/>
      <color theme="0"/>
      <name val="Segoe UI"/>
      <family val="2"/>
    </font>
    <font>
      <b/>
      <sz val="12"/>
      <color theme="0"/>
      <name val="Segoe UI"/>
      <family val="2"/>
    </font>
    <font>
      <b/>
      <sz val="11"/>
      <name val="Segoe UI"/>
      <family val="2"/>
    </font>
    <font>
      <sz val="12"/>
      <color rgb="FFFF0000"/>
      <name val="Segoe UI"/>
      <family val="2"/>
    </font>
    <font>
      <sz val="11"/>
      <color rgb="FFFF0000"/>
      <name val="Arial"/>
      <family val="2"/>
    </font>
    <font>
      <u/>
      <sz val="11"/>
      <color theme="10"/>
      <name val="Calibri"/>
      <family val="2"/>
      <scheme val="minor"/>
    </font>
    <font>
      <u/>
      <sz val="11"/>
      <color theme="11"/>
      <name val="Calibri"/>
      <family val="2"/>
      <scheme val="minor"/>
    </font>
    <font>
      <sz val="14"/>
      <color rgb="FF5D5D5D"/>
      <name val="Helvetica"/>
    </font>
    <font>
      <sz val="11"/>
      <color rgb="FF000000"/>
      <name val="Arial"/>
      <family val="2"/>
    </font>
    <font>
      <sz val="11"/>
      <name val="Arial"/>
    </font>
    <font>
      <sz val="11"/>
      <color rgb="FFFF0000"/>
      <name val="Segoe UI"/>
      <family val="2"/>
    </font>
    <font>
      <sz val="11"/>
      <name val="Segoe UI"/>
      <family val="2"/>
    </font>
    <font>
      <sz val="11"/>
      <color theme="1"/>
      <name val="Segoe UI"/>
      <family val="2"/>
    </font>
    <font>
      <b/>
      <sz val="11"/>
      <color theme="1"/>
      <name val="Segoe UI"/>
      <family val="2"/>
    </font>
    <font>
      <sz val="11"/>
      <color rgb="FFFFC000"/>
      <name val="Segoe UI"/>
      <family val="2"/>
    </font>
    <font>
      <sz val="11"/>
      <color theme="0"/>
      <name val="Segoe UI"/>
    </font>
    <font>
      <b/>
      <sz val="11"/>
      <color theme="4"/>
      <name val="Arial"/>
    </font>
    <font>
      <b/>
      <sz val="11"/>
      <color rgb="FF38869C"/>
      <name val="Arial"/>
    </font>
    <font>
      <sz val="12"/>
      <color rgb="FF3366FF"/>
      <name val="Segoe UI"/>
    </font>
    <font>
      <b/>
      <sz val="12"/>
      <name val="Arial"/>
    </font>
    <font>
      <b/>
      <sz val="22"/>
      <color indexed="9"/>
      <name val="Arial"/>
      <family val="2"/>
    </font>
  </fonts>
  <fills count="11">
    <fill>
      <patternFill patternType="none"/>
    </fill>
    <fill>
      <patternFill patternType="gray125"/>
    </fill>
    <fill>
      <patternFill patternType="solid">
        <fgColor theme="0"/>
        <bgColor indexed="64"/>
      </patternFill>
    </fill>
    <fill>
      <patternFill patternType="solid">
        <fgColor rgb="FF0597AB"/>
        <bgColor indexed="64"/>
      </patternFill>
    </fill>
    <fill>
      <patternFill patternType="solid">
        <fgColor rgb="FFFF000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00919B"/>
        <bgColor indexed="64"/>
      </patternFill>
    </fill>
    <fill>
      <patternFill patternType="solid">
        <fgColor rgb="FFC4BD97"/>
        <bgColor rgb="FF000000"/>
      </patternFill>
    </fill>
    <fill>
      <patternFill patternType="solid">
        <fgColor rgb="FF008000"/>
        <bgColor indexed="64"/>
      </patternFill>
    </fill>
    <fill>
      <patternFill patternType="solid">
        <fgColor rgb="FFFFFFFF"/>
        <bgColor rgb="FF000000"/>
      </patternFill>
    </fill>
  </fills>
  <borders count="30">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94">
    <xf numFmtId="0" fontId="0"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258">
    <xf numFmtId="0" fontId="0" fillId="0" borderId="0" xfId="0"/>
    <xf numFmtId="0" fontId="2" fillId="2" borderId="0" xfId="0" applyFont="1" applyFill="1" applyAlignment="1">
      <alignment horizontal="center" vertical="center"/>
    </xf>
    <xf numFmtId="0" fontId="2" fillId="0" borderId="0" xfId="0" applyFont="1" applyAlignment="1">
      <alignment horizontal="center" vertical="center"/>
    </xf>
    <xf numFmtId="0" fontId="4" fillId="3" borderId="0" xfId="0" applyFont="1" applyFill="1" applyBorder="1" applyAlignment="1">
      <alignment horizontal="center" vertical="center"/>
    </xf>
    <xf numFmtId="0" fontId="3" fillId="3" borderId="0" xfId="0" applyFont="1" applyFill="1" applyBorder="1" applyAlignment="1">
      <alignment horizontal="center" vertical="center" wrapText="1"/>
    </xf>
    <xf numFmtId="165" fontId="5" fillId="3" borderId="0" xfId="0" applyNumberFormat="1" applyFont="1" applyFill="1" applyBorder="1" applyAlignment="1">
      <alignment horizontal="center" vertical="center" wrapText="1"/>
    </xf>
    <xf numFmtId="0" fontId="4" fillId="3" borderId="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4" xfId="0" applyBorder="1" applyAlignment="1">
      <alignment horizontal="center" vertical="center"/>
    </xf>
    <xf numFmtId="0" fontId="7" fillId="6" borderId="4" xfId="0" applyFont="1" applyFill="1" applyBorder="1" applyAlignment="1">
      <alignment horizontal="center" vertical="center"/>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0" xfId="0" applyFill="1" applyAlignment="1"/>
    <xf numFmtId="0" fontId="9" fillId="2" borderId="0" xfId="0" applyFont="1" applyFill="1"/>
    <xf numFmtId="0" fontId="12" fillId="2" borderId="0" xfId="0" applyFont="1" applyFill="1" applyAlignment="1"/>
    <xf numFmtId="0" fontId="13" fillId="2"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7" borderId="16" xfId="0" applyFont="1" applyFill="1" applyBorder="1" applyAlignment="1">
      <alignment vertical="center"/>
    </xf>
    <xf numFmtId="164" fontId="9" fillId="2" borderId="0" xfId="0" applyNumberFormat="1" applyFont="1" applyFill="1" applyAlignment="1">
      <alignment wrapText="1"/>
    </xf>
    <xf numFmtId="0" fontId="9" fillId="2" borderId="0" xfId="0" applyFont="1" applyFill="1" applyBorder="1" applyAlignment="1">
      <alignment vertical="center" wrapText="1"/>
    </xf>
    <xf numFmtId="0" fontId="9" fillId="2" borderId="0" xfId="0" applyFont="1" applyFill="1" applyBorder="1" applyAlignment="1">
      <alignment horizontal="left" vertical="center" wrapText="1"/>
    </xf>
    <xf numFmtId="0" fontId="9" fillId="2" borderId="0" xfId="0" applyFont="1" applyFill="1" applyBorder="1" applyAlignment="1">
      <alignment horizontal="center" vertical="center" wrapText="1"/>
    </xf>
    <xf numFmtId="164" fontId="9" fillId="0" borderId="0" xfId="1" applyNumberFormat="1" applyFont="1" applyFill="1" applyBorder="1" applyAlignment="1">
      <alignment horizontal="center" vertical="center" wrapText="1"/>
    </xf>
    <xf numFmtId="164" fontId="9" fillId="2" borderId="0" xfId="1" applyNumberFormat="1" applyFont="1" applyFill="1" applyBorder="1" applyAlignment="1">
      <alignment horizontal="center" vertical="center" wrapText="1"/>
    </xf>
    <xf numFmtId="0" fontId="9" fillId="2" borderId="0" xfId="0" applyFont="1" applyFill="1" applyAlignment="1">
      <alignment horizontal="center" vertical="center"/>
    </xf>
    <xf numFmtId="0" fontId="9" fillId="0" borderId="0" xfId="0" applyFont="1" applyFill="1" applyAlignment="1">
      <alignment horizontal="center" vertical="center"/>
    </xf>
    <xf numFmtId="0" fontId="9" fillId="2" borderId="0" xfId="0" applyFont="1" applyFill="1" applyAlignment="1">
      <alignment horizontal="center"/>
    </xf>
    <xf numFmtId="0" fontId="4" fillId="3" borderId="7" xfId="0" applyFont="1" applyFill="1" applyBorder="1" applyAlignment="1">
      <alignment horizontal="center" vertical="center"/>
    </xf>
    <xf numFmtId="0" fontId="13" fillId="2"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quotePrefix="1" applyFont="1" applyFill="1" applyBorder="1" applyAlignment="1">
      <alignment horizontal="center" vertical="center" wrapText="1"/>
    </xf>
    <xf numFmtId="0" fontId="9" fillId="0" borderId="4" xfId="0" applyFont="1" applyFill="1" applyBorder="1" applyAlignment="1">
      <alignment horizontal="center" vertical="center" wrapText="1"/>
    </xf>
    <xf numFmtId="9" fontId="12" fillId="0" borderId="4" xfId="0" applyNumberFormat="1" applyFont="1" applyFill="1" applyBorder="1" applyAlignment="1">
      <alignment horizontal="center" vertical="center" wrapText="1"/>
    </xf>
    <xf numFmtId="3" fontId="9" fillId="0" borderId="4" xfId="0" applyNumberFormat="1" applyFont="1" applyFill="1" applyBorder="1" applyAlignment="1">
      <alignment horizontal="center" vertical="center" wrapText="1"/>
    </xf>
    <xf numFmtId="164" fontId="9" fillId="0" borderId="4" xfId="2" applyNumberFormat="1" applyFont="1" applyFill="1" applyBorder="1" applyAlignment="1">
      <alignment horizontal="center" vertical="center" wrapText="1"/>
    </xf>
    <xf numFmtId="0" fontId="9" fillId="0" borderId="4" xfId="0" applyFont="1" applyFill="1" applyBorder="1" applyAlignment="1">
      <alignment horizontal="center" vertical="center"/>
    </xf>
    <xf numFmtId="9"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6" fillId="8" borderId="1" xfId="0" applyFont="1" applyFill="1" applyBorder="1" applyAlignment="1">
      <alignment horizontal="center" vertical="center" wrapText="1"/>
    </xf>
    <xf numFmtId="20" fontId="12" fillId="0" borderId="4" xfId="0" quotePrefix="1" applyNumberFormat="1" applyFont="1" applyFill="1" applyBorder="1" applyAlignment="1">
      <alignment horizontal="center" vertical="center" wrapText="1"/>
    </xf>
    <xf numFmtId="9" fontId="9" fillId="0" borderId="4" xfId="0" applyNumberFormat="1" applyFont="1" applyFill="1" applyBorder="1" applyAlignment="1">
      <alignment horizontal="center" vertical="center"/>
    </xf>
    <xf numFmtId="167" fontId="9" fillId="2" borderId="4" xfId="0" applyNumberFormat="1" applyFont="1" applyFill="1" applyBorder="1" applyAlignment="1">
      <alignment horizontal="center" vertical="center"/>
    </xf>
    <xf numFmtId="0" fontId="9" fillId="0" borderId="4" xfId="0" applyNumberFormat="1" applyFont="1" applyFill="1" applyBorder="1" applyAlignment="1">
      <alignment horizontal="center" vertical="center" wrapText="1"/>
    </xf>
    <xf numFmtId="0" fontId="12" fillId="5" borderId="4" xfId="0" applyFont="1" applyFill="1" applyBorder="1" applyAlignment="1">
      <alignment horizontal="center" vertical="center" wrapText="1"/>
    </xf>
    <xf numFmtId="0" fontId="9" fillId="2" borderId="4" xfId="0" applyFont="1" applyFill="1" applyBorder="1" applyAlignment="1">
      <alignment vertical="center" wrapText="1"/>
    </xf>
    <xf numFmtId="165" fontId="2" fillId="0" borderId="0" xfId="0" applyNumberFormat="1" applyFont="1" applyAlignment="1">
      <alignment horizontal="center" vertical="center"/>
    </xf>
    <xf numFmtId="167" fontId="9" fillId="0" borderId="4" xfId="0" applyNumberFormat="1" applyFont="1" applyFill="1" applyBorder="1" applyAlignment="1">
      <alignment horizontal="right" vertical="center"/>
    </xf>
    <xf numFmtId="4" fontId="9" fillId="0" borderId="4" xfId="0" applyNumberFormat="1" applyFont="1" applyFill="1" applyBorder="1" applyAlignment="1">
      <alignment horizontal="center" vertical="center" wrapText="1"/>
    </xf>
    <xf numFmtId="3" fontId="9" fillId="0" borderId="4" xfId="0" applyNumberFormat="1" applyFont="1" applyFill="1" applyBorder="1" applyAlignment="1">
      <alignment horizontal="center" vertical="center"/>
    </xf>
    <xf numFmtId="0" fontId="9" fillId="2" borderId="16" xfId="0" applyFont="1" applyFill="1" applyBorder="1" applyAlignment="1">
      <alignment vertical="center" wrapText="1"/>
    </xf>
    <xf numFmtId="0" fontId="2" fillId="2" borderId="4" xfId="0" applyFont="1" applyFill="1" applyBorder="1" applyAlignment="1">
      <alignment horizontal="center" vertical="center" wrapText="1"/>
    </xf>
    <xf numFmtId="10" fontId="2" fillId="2" borderId="4" xfId="3" applyNumberFormat="1" applyFont="1" applyFill="1" applyBorder="1" applyAlignment="1">
      <alignment horizontal="center" vertical="center" wrapText="1"/>
    </xf>
    <xf numFmtId="9" fontId="2" fillId="2" borderId="4" xfId="3" applyFont="1" applyFill="1" applyBorder="1" applyAlignment="1">
      <alignment horizontal="center" vertical="center" wrapText="1"/>
    </xf>
    <xf numFmtId="0" fontId="22" fillId="10" borderId="4" xfId="0" applyFont="1" applyFill="1" applyBorder="1" applyAlignment="1">
      <alignment horizontal="center" vertical="center" wrapText="1"/>
    </xf>
    <xf numFmtId="10" fontId="2" fillId="2" borderId="4" xfId="3" applyNumberFormat="1" applyFont="1" applyFill="1" applyBorder="1" applyAlignment="1">
      <alignment horizontal="center" vertical="center"/>
    </xf>
    <xf numFmtId="9" fontId="4" fillId="3" borderId="0" xfId="3" applyFont="1" applyFill="1" applyBorder="1" applyAlignment="1">
      <alignment horizontal="center" vertical="center"/>
    </xf>
    <xf numFmtId="0" fontId="2" fillId="0" borderId="0" xfId="0" applyFont="1" applyFill="1" applyAlignment="1">
      <alignment horizontal="center" vertical="center"/>
    </xf>
    <xf numFmtId="0" fontId="4" fillId="3" borderId="4" xfId="0" applyFont="1" applyFill="1" applyBorder="1" applyAlignment="1">
      <alignment horizontal="center" vertical="center"/>
    </xf>
    <xf numFmtId="10" fontId="2" fillId="4" borderId="4" xfId="3" applyNumberFormat="1" applyFont="1" applyFill="1" applyBorder="1" applyAlignment="1">
      <alignment horizontal="center" vertical="center"/>
    </xf>
    <xf numFmtId="0" fontId="2" fillId="4" borderId="4" xfId="0" applyFont="1" applyFill="1" applyBorder="1" applyAlignment="1">
      <alignment horizontal="center" vertical="center"/>
    </xf>
    <xf numFmtId="0" fontId="3" fillId="4" borderId="21" xfId="0" applyFont="1" applyFill="1" applyBorder="1" applyAlignment="1">
      <alignment vertical="center"/>
    </xf>
    <xf numFmtId="0" fontId="3" fillId="4" borderId="0" xfId="0" applyFont="1" applyFill="1" applyBorder="1" applyAlignment="1">
      <alignment vertical="center"/>
    </xf>
    <xf numFmtId="0" fontId="3" fillId="5" borderId="21" xfId="0" applyFont="1" applyFill="1" applyBorder="1" applyAlignment="1">
      <alignment horizontal="left" vertical="center"/>
    </xf>
    <xf numFmtId="0" fontId="3" fillId="5" borderId="0" xfId="0" applyFont="1" applyFill="1" applyBorder="1" applyAlignment="1">
      <alignment horizontal="left" vertical="center"/>
    </xf>
    <xf numFmtId="0" fontId="18" fillId="0" borderId="0" xfId="0" applyFont="1" applyBorder="1" applyAlignment="1">
      <alignment horizontal="left" vertical="center"/>
    </xf>
    <xf numFmtId="0" fontId="2" fillId="2" borderId="4" xfId="0" applyFont="1" applyFill="1" applyBorder="1" applyAlignment="1">
      <alignment horizontal="center" vertical="center"/>
    </xf>
    <xf numFmtId="9" fontId="2" fillId="2" borderId="4" xfId="3" applyFont="1" applyFill="1" applyBorder="1" applyAlignment="1">
      <alignment horizontal="center" vertical="center"/>
    </xf>
    <xf numFmtId="0" fontId="2" fillId="2" borderId="4" xfId="0" applyFont="1" applyFill="1" applyBorder="1" applyAlignment="1">
      <alignment horizontal="center" vertical="center" wrapText="1"/>
    </xf>
    <xf numFmtId="10" fontId="23" fillId="4" borderId="4" xfId="3" applyNumberFormat="1" applyFont="1" applyFill="1" applyBorder="1" applyAlignment="1">
      <alignment horizontal="center" vertical="center" wrapText="1"/>
    </xf>
    <xf numFmtId="168" fontId="4" fillId="3" borderId="0" xfId="3" applyNumberFormat="1" applyFont="1" applyFill="1" applyBorder="1" applyAlignment="1">
      <alignment horizontal="center" vertical="center"/>
    </xf>
    <xf numFmtId="0" fontId="23" fillId="4" borderId="4" xfId="0" applyFont="1" applyFill="1" applyBorder="1" applyAlignment="1">
      <alignment horizontal="center" vertical="center" wrapText="1"/>
    </xf>
    <xf numFmtId="3" fontId="17" fillId="0" borderId="4" xfId="0" applyNumberFormat="1" applyFont="1" applyFill="1" applyBorder="1" applyAlignment="1">
      <alignment horizontal="center" vertical="center" wrapText="1"/>
    </xf>
    <xf numFmtId="0" fontId="17" fillId="0" borderId="4" xfId="0" quotePrefix="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9" fontId="26" fillId="0" borderId="4" xfId="0" applyNumberFormat="1" applyFont="1" applyFill="1" applyBorder="1" applyAlignment="1">
      <alignment horizontal="center" vertical="center"/>
    </xf>
    <xf numFmtId="9" fontId="25" fillId="0" borderId="4"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center" wrapText="1"/>
    </xf>
    <xf numFmtId="9" fontId="26" fillId="0" borderId="4" xfId="3"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0" borderId="4" xfId="0" applyFont="1" applyFill="1" applyBorder="1" applyAlignment="1">
      <alignment horizontal="center" vertical="center" wrapText="1"/>
    </xf>
    <xf numFmtId="9" fontId="26" fillId="0" borderId="4" xfId="0" applyNumberFormat="1" applyFont="1" applyFill="1" applyBorder="1" applyAlignment="1">
      <alignment horizontal="center" vertical="center" wrapText="1"/>
    </xf>
    <xf numFmtId="3" fontId="26" fillId="0" borderId="20" xfId="0" applyNumberFormat="1" applyFont="1" applyFill="1" applyBorder="1" applyAlignment="1">
      <alignment horizontal="center" vertical="center" wrapText="1"/>
    </xf>
    <xf numFmtId="3" fontId="26" fillId="0" borderId="16" xfId="0" applyNumberFormat="1" applyFont="1" applyFill="1" applyBorder="1" applyAlignment="1">
      <alignment horizontal="center" vertical="center" wrapText="1"/>
    </xf>
    <xf numFmtId="0" fontId="26" fillId="5" borderId="4" xfId="0" applyFont="1" applyFill="1" applyBorder="1" applyAlignment="1">
      <alignment horizontal="center" vertical="center" wrapText="1"/>
    </xf>
    <xf numFmtId="3" fontId="26" fillId="5" borderId="20" xfId="0" applyNumberFormat="1" applyFont="1" applyFill="1" applyBorder="1" applyAlignment="1">
      <alignment horizontal="center" vertical="center" wrapText="1"/>
    </xf>
    <xf numFmtId="3" fontId="26" fillId="5" borderId="16" xfId="0" applyNumberFormat="1" applyFont="1" applyFill="1" applyBorder="1" applyAlignment="1">
      <alignment horizontal="center" vertical="center" wrapText="1"/>
    </xf>
    <xf numFmtId="3" fontId="26" fillId="0" borderId="4" xfId="0" applyNumberFormat="1" applyFont="1" applyFill="1" applyBorder="1" applyAlignment="1">
      <alignment horizontal="center" vertical="center" wrapText="1"/>
    </xf>
    <xf numFmtId="4" fontId="26" fillId="0" borderId="4" xfId="0" applyNumberFormat="1" applyFont="1" applyFill="1" applyBorder="1" applyAlignment="1">
      <alignment horizontal="center" vertical="center" wrapText="1"/>
    </xf>
    <xf numFmtId="4" fontId="26" fillId="0" borderId="1" xfId="0" applyNumberFormat="1" applyFont="1" applyFill="1" applyBorder="1" applyAlignment="1">
      <alignment horizontal="center" vertical="center" wrapText="1"/>
    </xf>
    <xf numFmtId="164" fontId="26" fillId="0" borderId="4" xfId="1" applyNumberFormat="1" applyFont="1" applyFill="1" applyBorder="1" applyAlignment="1">
      <alignment horizontal="center" vertical="center" wrapText="1"/>
    </xf>
    <xf numFmtId="0" fontId="25" fillId="0" borderId="4" xfId="0" quotePrefix="1" applyFont="1" applyFill="1" applyBorder="1" applyAlignment="1">
      <alignment horizontal="center" vertical="center" wrapText="1"/>
    </xf>
    <xf numFmtId="0" fontId="26" fillId="4" borderId="4" xfId="0" applyFont="1" applyFill="1" applyBorder="1" applyAlignment="1">
      <alignment horizontal="center" vertical="center" wrapText="1"/>
    </xf>
    <xf numFmtId="164" fontId="26" fillId="5" borderId="1" xfId="1" applyNumberFormat="1" applyFont="1" applyFill="1" applyBorder="1" applyAlignment="1">
      <alignment horizontal="center" vertical="center" wrapText="1"/>
    </xf>
    <xf numFmtId="164" fontId="26" fillId="0" borderId="4" xfId="2" applyNumberFormat="1" applyFont="1" applyFill="1" applyBorder="1" applyAlignment="1">
      <alignment horizontal="center" vertical="center" wrapText="1"/>
    </xf>
    <xf numFmtId="164" fontId="26" fillId="5" borderId="4" xfId="2" applyNumberFormat="1" applyFont="1" applyFill="1" applyBorder="1" applyAlignment="1">
      <alignment horizontal="center" vertical="center" wrapText="1"/>
    </xf>
    <xf numFmtId="164" fontId="26" fillId="5" borderId="4" xfId="1" applyNumberFormat="1" applyFont="1" applyFill="1" applyBorder="1" applyAlignment="1">
      <alignment horizontal="center" vertical="center" wrapText="1"/>
    </xf>
    <xf numFmtId="164" fontId="26" fillId="4" borderId="4" xfId="2" applyNumberFormat="1" applyFont="1" applyFill="1" applyBorder="1" applyAlignment="1">
      <alignment horizontal="center" vertical="center" wrapText="1"/>
    </xf>
    <xf numFmtId="49" fontId="26" fillId="0" borderId="4" xfId="2"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164" fontId="25" fillId="4" borderId="4" xfId="1" applyNumberFormat="1" applyFont="1" applyFill="1" applyBorder="1" applyAlignment="1">
      <alignment horizontal="center" vertical="center" wrapText="1"/>
    </xf>
    <xf numFmtId="0" fontId="26" fillId="0" borderId="4" xfId="0" applyFont="1" applyFill="1" applyBorder="1" applyAlignment="1">
      <alignment horizontal="center" vertical="center"/>
    </xf>
    <xf numFmtId="3" fontId="26" fillId="0" borderId="4" xfId="0" applyNumberFormat="1" applyFont="1" applyFill="1" applyBorder="1" applyAlignment="1">
      <alignment horizontal="center" vertical="center"/>
    </xf>
    <xf numFmtId="3" fontId="26" fillId="0" borderId="1" xfId="0" applyNumberFormat="1" applyFont="1" applyFill="1" applyBorder="1" applyAlignment="1">
      <alignment horizontal="center" vertical="center" wrapText="1"/>
    </xf>
    <xf numFmtId="0" fontId="26" fillId="0" borderId="4" xfId="0" applyNumberFormat="1" applyFont="1" applyFill="1" applyBorder="1" applyAlignment="1">
      <alignment horizontal="center" vertical="center" wrapText="1"/>
    </xf>
    <xf numFmtId="0" fontId="26" fillId="0" borderId="4" xfId="0" applyNumberFormat="1" applyFont="1" applyFill="1" applyBorder="1" applyAlignment="1">
      <alignment horizontal="center" vertical="center"/>
    </xf>
    <xf numFmtId="0" fontId="26" fillId="0" borderId="4" xfId="1" applyNumberFormat="1" applyFont="1" applyFill="1" applyBorder="1" applyAlignment="1">
      <alignment horizontal="center" vertical="center" wrapText="1"/>
    </xf>
    <xf numFmtId="0" fontId="26" fillId="2" borderId="4" xfId="0" applyNumberFormat="1" applyFont="1" applyFill="1" applyBorder="1" applyAlignment="1">
      <alignment horizontal="center" vertical="center" wrapText="1"/>
    </xf>
    <xf numFmtId="0" fontId="27" fillId="2" borderId="4" xfId="0" applyFont="1" applyFill="1" applyBorder="1" applyAlignment="1">
      <alignment horizontal="center" vertical="center" wrapText="1"/>
    </xf>
    <xf numFmtId="9" fontId="2" fillId="4" borderId="4" xfId="3" applyFont="1" applyFill="1" applyBorder="1" applyAlignment="1">
      <alignment horizontal="center" vertical="center"/>
    </xf>
    <xf numFmtId="9" fontId="17" fillId="0" borderId="4" xfId="0" applyNumberFormat="1" applyFont="1" applyFill="1" applyBorder="1" applyAlignment="1">
      <alignment horizontal="center" vertical="center" wrapText="1"/>
    </xf>
    <xf numFmtId="0" fontId="2" fillId="4" borderId="4" xfId="0" applyFont="1" applyFill="1" applyBorder="1" applyAlignment="1">
      <alignment horizontal="center" vertical="center" wrapText="1"/>
    </xf>
    <xf numFmtId="9" fontId="2" fillId="0" borderId="4" xfId="3" applyFont="1" applyFill="1" applyBorder="1" applyAlignment="1">
      <alignment horizontal="center" vertical="center" wrapText="1"/>
    </xf>
    <xf numFmtId="0" fontId="26" fillId="5" borderId="4" xfId="0" applyNumberFormat="1" applyFont="1" applyFill="1" applyBorder="1" applyAlignment="1">
      <alignment horizontal="center" vertical="center" wrapText="1"/>
    </xf>
    <xf numFmtId="0" fontId="26" fillId="0" borderId="4" xfId="2" applyNumberFormat="1" applyFont="1" applyFill="1" applyBorder="1" applyAlignment="1">
      <alignment horizontal="center" vertical="center" wrapText="1"/>
    </xf>
    <xf numFmtId="0" fontId="6" fillId="3" borderId="0" xfId="0" applyFont="1" applyFill="1" applyBorder="1" applyAlignment="1">
      <alignment vertical="center" wrapText="1"/>
    </xf>
    <xf numFmtId="0" fontId="6" fillId="3" borderId="15" xfId="0" applyFont="1" applyFill="1" applyBorder="1" applyAlignment="1">
      <alignment vertical="center" wrapText="1"/>
    </xf>
    <xf numFmtId="0" fontId="30" fillId="3" borderId="0" xfId="0" applyFont="1" applyFill="1" applyBorder="1" applyAlignment="1">
      <alignment horizontal="center" vertical="center" wrapText="1"/>
    </xf>
    <xf numFmtId="9" fontId="31" fillId="3" borderId="0" xfId="3" applyFont="1" applyFill="1" applyBorder="1" applyAlignment="1">
      <alignment horizontal="center" vertical="center"/>
    </xf>
    <xf numFmtId="49" fontId="17" fillId="0" borderId="4" xfId="2"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2" fillId="3" borderId="0" xfId="0" applyFont="1" applyFill="1" applyAlignment="1">
      <alignment horizontal="center" vertical="center"/>
    </xf>
    <xf numFmtId="0" fontId="32"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1" fillId="0" borderId="4" xfId="0" applyFont="1" applyBorder="1" applyAlignment="1">
      <alignment horizontal="center" vertical="center" wrapText="1"/>
    </xf>
    <xf numFmtId="9" fontId="3" fillId="3" borderId="0" xfId="3" applyFont="1" applyFill="1" applyBorder="1" applyAlignment="1">
      <alignment horizontal="center" vertical="center"/>
    </xf>
    <xf numFmtId="0" fontId="12" fillId="2" borderId="4" xfId="0" applyFont="1" applyFill="1" applyBorder="1" applyAlignment="1">
      <alignment horizontal="center" vertical="center" wrapText="1"/>
    </xf>
    <xf numFmtId="0" fontId="2" fillId="0" borderId="0" xfId="0" applyFont="1" applyFill="1" applyAlignment="1">
      <alignment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8" fillId="6" borderId="4" xfId="0" applyFont="1" applyFill="1" applyBorder="1" applyAlignment="1">
      <alignment horizontal="center" vertical="center"/>
    </xf>
    <xf numFmtId="0" fontId="6" fillId="3" borderId="0" xfId="0" applyFont="1" applyFill="1" applyBorder="1" applyAlignment="1">
      <alignment horizontal="center" vertical="center" wrapText="1"/>
    </xf>
    <xf numFmtId="0" fontId="4" fillId="3" borderId="0" xfId="0" applyFont="1" applyFill="1" applyBorder="1" applyAlignment="1">
      <alignment horizontal="left" vertical="center" wrapText="1"/>
    </xf>
    <xf numFmtId="0" fontId="4" fillId="3" borderId="0" xfId="0" applyFont="1" applyFill="1" applyBorder="1" applyAlignment="1">
      <alignment horizontal="left" vertical="center"/>
    </xf>
    <xf numFmtId="0" fontId="11" fillId="0" borderId="4" xfId="0" applyFont="1" applyFill="1" applyBorder="1" applyAlignment="1">
      <alignment horizontal="center" vertical="center" wrapText="1"/>
    </xf>
    <xf numFmtId="165" fontId="9" fillId="0" borderId="4"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26" fillId="0" borderId="4" xfId="0" applyFont="1" applyFill="1" applyBorder="1" applyAlignment="1">
      <alignment horizontal="center" vertical="center" wrapText="1"/>
    </xf>
    <xf numFmtId="3" fontId="26" fillId="0" borderId="4" xfId="0" applyNumberFormat="1" applyFont="1" applyFill="1" applyBorder="1" applyAlignment="1">
      <alignment horizontal="center" vertical="center" wrapText="1"/>
    </xf>
    <xf numFmtId="164" fontId="26" fillId="0" borderId="4" xfId="2"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2" borderId="4" xfId="0" applyFont="1" applyFill="1" applyBorder="1" applyAlignment="1">
      <alignment horizontal="center" vertical="center" wrapText="1"/>
    </xf>
    <xf numFmtId="165" fontId="9" fillId="0" borderId="4" xfId="0" applyNumberFormat="1" applyFont="1" applyFill="1" applyBorder="1" applyAlignment="1">
      <alignment horizontal="right" vertical="center" wrapText="1"/>
    </xf>
    <xf numFmtId="166" fontId="9" fillId="0" borderId="4" xfId="0" applyNumberFormat="1" applyFont="1" applyFill="1" applyBorder="1" applyAlignment="1">
      <alignment horizontal="right" vertical="center"/>
    </xf>
    <xf numFmtId="166" fontId="9" fillId="2" borderId="4" xfId="0" applyNumberFormat="1" applyFont="1" applyFill="1" applyBorder="1" applyAlignment="1">
      <alignment horizontal="right"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6" fillId="0" borderId="4" xfId="0" applyNumberFormat="1" applyFont="1" applyFill="1" applyBorder="1" applyAlignment="1">
      <alignment horizontal="center" vertical="center" wrapText="1"/>
    </xf>
    <xf numFmtId="0" fontId="26" fillId="0" borderId="4" xfId="1"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164" fontId="26" fillId="0" borderId="1" xfId="2" applyNumberFormat="1" applyFont="1" applyFill="1" applyBorder="1" applyAlignment="1">
      <alignment horizontal="center" vertical="center" wrapText="1"/>
    </xf>
    <xf numFmtId="164" fontId="26" fillId="0" borderId="2" xfId="2"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9" borderId="12"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7" xfId="0" applyFont="1" applyFill="1" applyBorder="1" applyAlignment="1">
      <alignment horizontal="center" vertical="center"/>
    </xf>
    <xf numFmtId="0" fontId="4" fillId="9" borderId="27" xfId="0" applyFont="1" applyFill="1" applyBorder="1" applyAlignment="1">
      <alignment horizontal="center" vertical="center"/>
    </xf>
    <xf numFmtId="0" fontId="4" fillId="9" borderId="28" xfId="0" applyFont="1" applyFill="1" applyBorder="1" applyAlignment="1">
      <alignment horizontal="center" vertical="center"/>
    </xf>
    <xf numFmtId="0" fontId="4" fillId="9" borderId="29" xfId="0" applyFont="1" applyFill="1" applyBorder="1" applyAlignment="1">
      <alignment horizontal="center" vertical="center"/>
    </xf>
    <xf numFmtId="0" fontId="16" fillId="8" borderId="27" xfId="0" applyFont="1" applyFill="1" applyBorder="1" applyAlignment="1">
      <alignment horizontal="center" vertical="center" wrapText="1"/>
    </xf>
    <xf numFmtId="0" fontId="16" fillId="8" borderId="28" xfId="0" applyFont="1" applyFill="1" applyBorder="1" applyAlignment="1">
      <alignment horizontal="center" vertical="center" wrapText="1"/>
    </xf>
    <xf numFmtId="0" fontId="16" fillId="8" borderId="29" xfId="0" applyFont="1" applyFill="1" applyBorder="1" applyAlignment="1">
      <alignment horizontal="center" vertical="center" wrapText="1"/>
    </xf>
    <xf numFmtId="0" fontId="34" fillId="3" borderId="0"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24" fillId="0" borderId="4"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7" fillId="0" borderId="4" xfId="0" applyFont="1" applyFill="1" applyBorder="1" applyAlignment="1">
      <alignment horizontal="center" vertical="center" wrapText="1"/>
    </xf>
    <xf numFmtId="9" fontId="26" fillId="0" borderId="4" xfId="3" applyFont="1" applyFill="1" applyBorder="1" applyAlignment="1">
      <alignment horizontal="center" vertical="center" wrapText="1"/>
    </xf>
    <xf numFmtId="9" fontId="2" fillId="0" borderId="4" xfId="3" applyFont="1" applyFill="1" applyBorder="1" applyAlignment="1">
      <alignment horizontal="center" vertical="center" wrapText="1"/>
    </xf>
    <xf numFmtId="9" fontId="2" fillId="0" borderId="4" xfId="3" applyFont="1" applyFill="1" applyBorder="1" applyAlignment="1">
      <alignment horizontal="center" vertical="center"/>
    </xf>
    <xf numFmtId="0" fontId="26" fillId="0" borderId="4" xfId="2" applyNumberFormat="1" applyFont="1" applyFill="1" applyBorder="1" applyAlignment="1">
      <alignment horizontal="center" vertical="center" wrapText="1"/>
    </xf>
    <xf numFmtId="9" fontId="26" fillId="0" borderId="4" xfId="0" applyNumberFormat="1" applyFont="1" applyFill="1" applyBorder="1" applyAlignment="1">
      <alignment horizontal="center" vertical="center" wrapText="1"/>
    </xf>
    <xf numFmtId="0" fontId="25" fillId="0" borderId="4" xfId="0" applyFont="1" applyFill="1" applyBorder="1" applyAlignment="1">
      <alignment horizontal="center" vertical="center" wrapText="1"/>
    </xf>
    <xf numFmtId="3" fontId="26" fillId="0" borderId="1" xfId="0" applyNumberFormat="1" applyFont="1" applyFill="1" applyBorder="1" applyAlignment="1">
      <alignment horizontal="center" vertical="center" wrapText="1"/>
    </xf>
    <xf numFmtId="3" fontId="26" fillId="0" borderId="2"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9" fontId="2" fillId="2" borderId="4" xfId="3" applyFont="1" applyFill="1" applyBorder="1" applyAlignment="1">
      <alignment horizontal="center" vertical="center"/>
    </xf>
    <xf numFmtId="9" fontId="2" fillId="2" borderId="1" xfId="3" applyFont="1" applyFill="1" applyBorder="1" applyAlignment="1">
      <alignment horizontal="center" vertical="center"/>
    </xf>
    <xf numFmtId="9" fontId="2" fillId="2" borderId="3" xfId="3" applyFont="1" applyFill="1" applyBorder="1" applyAlignment="1">
      <alignment horizontal="center" vertical="center"/>
    </xf>
    <xf numFmtId="0" fontId="27" fillId="2" borderId="4" xfId="0" applyFont="1" applyFill="1" applyBorder="1" applyAlignment="1">
      <alignment horizontal="center" vertical="center" wrapText="1"/>
    </xf>
    <xf numFmtId="0" fontId="25" fillId="4" borderId="4" xfId="2" applyNumberFormat="1"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9" fontId="23" fillId="0" borderId="1" xfId="3" applyFont="1" applyFill="1" applyBorder="1" applyAlignment="1">
      <alignment horizontal="center" vertical="center" wrapText="1"/>
    </xf>
    <xf numFmtId="9" fontId="23" fillId="0" borderId="3" xfId="3" applyFont="1" applyFill="1" applyBorder="1" applyAlignment="1">
      <alignment horizontal="center" vertical="center" wrapText="1"/>
    </xf>
    <xf numFmtId="9" fontId="2" fillId="0" borderId="1" xfId="3" applyFont="1" applyFill="1" applyBorder="1" applyAlignment="1">
      <alignment horizontal="center" vertical="center" wrapText="1"/>
    </xf>
    <xf numFmtId="9" fontId="2" fillId="0" borderId="3" xfId="3" applyFont="1" applyFill="1" applyBorder="1" applyAlignment="1">
      <alignment horizontal="center" vertical="center"/>
    </xf>
    <xf numFmtId="0" fontId="23" fillId="4" borderId="4" xfId="0" applyFont="1" applyFill="1" applyBorder="1" applyAlignment="1">
      <alignment horizontal="center" vertical="center" wrapText="1"/>
    </xf>
    <xf numFmtId="0" fontId="23" fillId="4" borderId="4" xfId="0" applyFont="1" applyFill="1" applyBorder="1" applyAlignment="1">
      <alignment horizontal="center" vertical="center"/>
    </xf>
    <xf numFmtId="0" fontId="33" fillId="0" borderId="20" xfId="0" applyFont="1" applyFill="1" applyBorder="1" applyAlignment="1">
      <alignment horizontal="left" vertical="center" wrapText="1"/>
    </xf>
    <xf numFmtId="0" fontId="33" fillId="0" borderId="26" xfId="0" applyFont="1" applyFill="1" applyBorder="1" applyAlignment="1">
      <alignment horizontal="left" vertical="center"/>
    </xf>
    <xf numFmtId="0" fontId="33" fillId="0" borderId="16" xfId="0" applyFont="1" applyFill="1" applyBorder="1" applyAlignment="1">
      <alignment horizontal="left" vertical="center"/>
    </xf>
    <xf numFmtId="49" fontId="26" fillId="0" borderId="1" xfId="2" applyNumberFormat="1" applyFont="1" applyFill="1" applyBorder="1" applyAlignment="1">
      <alignment horizontal="center" vertical="center" wrapText="1"/>
    </xf>
    <xf numFmtId="49" fontId="26" fillId="0" borderId="2" xfId="2" applyNumberFormat="1" applyFont="1" applyFill="1" applyBorder="1" applyAlignment="1">
      <alignment horizontal="center" vertical="center" wrapText="1"/>
    </xf>
    <xf numFmtId="0" fontId="2" fillId="2" borderId="4" xfId="0" applyFont="1" applyFill="1" applyBorder="1" applyAlignment="1">
      <alignment horizontal="center" vertical="center"/>
    </xf>
    <xf numFmtId="3" fontId="9" fillId="0" borderId="4" xfId="0" applyNumberFormat="1" applyFont="1" applyFill="1" applyBorder="1" applyAlignment="1">
      <alignment horizontal="center" vertical="center" wrapText="1"/>
    </xf>
    <xf numFmtId="49" fontId="17" fillId="0" borderId="4" xfId="2" applyNumberFormat="1" applyFont="1" applyFill="1" applyBorder="1" applyAlignment="1">
      <alignment horizontal="center" vertical="center" wrapText="1"/>
    </xf>
    <xf numFmtId="0" fontId="17" fillId="0" borderId="4" xfId="2" applyNumberFormat="1" applyFont="1" applyFill="1" applyBorder="1" applyAlignment="1">
      <alignment horizontal="center" vertical="center" wrapText="1"/>
    </xf>
    <xf numFmtId="0" fontId="9" fillId="0" borderId="4" xfId="2"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6" fillId="8" borderId="20" xfId="0" applyFont="1" applyFill="1" applyBorder="1" applyAlignment="1">
      <alignment horizontal="center" vertical="center" wrapText="1"/>
    </xf>
    <xf numFmtId="0" fontId="16" fillId="8" borderId="26"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9" fillId="2" borderId="20" xfId="0" applyFont="1" applyFill="1" applyBorder="1" applyAlignment="1">
      <alignment horizontal="center" vertical="center"/>
    </xf>
    <xf numFmtId="0" fontId="9" fillId="2" borderId="16" xfId="0" applyFont="1" applyFill="1" applyBorder="1" applyAlignment="1">
      <alignment horizontal="center" vertical="center"/>
    </xf>
    <xf numFmtId="0" fontId="14" fillId="7" borderId="20" xfId="0" applyFont="1" applyFill="1" applyBorder="1" applyAlignment="1">
      <alignment horizontal="center" vertical="center"/>
    </xf>
    <xf numFmtId="0" fontId="14" fillId="7" borderId="26" xfId="0" applyFont="1" applyFill="1" applyBorder="1" applyAlignment="1">
      <alignment horizontal="center" vertical="center"/>
    </xf>
    <xf numFmtId="0" fontId="15" fillId="7" borderId="4"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9" fillId="2" borderId="4" xfId="0" applyFont="1" applyFill="1" applyBorder="1" applyAlignment="1">
      <alignment horizontal="center"/>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9" fillId="2" borderId="0" xfId="0" applyFont="1" applyFill="1" applyAlignment="1">
      <alignment horizontal="left" vertical="center" wrapText="1"/>
    </xf>
    <xf numFmtId="0" fontId="9" fillId="2" borderId="0" xfId="0" applyFont="1" applyFill="1" applyAlignment="1">
      <alignment horizontal="left" vertical="center"/>
    </xf>
    <xf numFmtId="0" fontId="16" fillId="8"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9" fontId="9" fillId="0" borderId="4" xfId="0" applyNumberFormat="1" applyFont="1" applyFill="1" applyBorder="1" applyAlignment="1">
      <alignment horizontal="center" vertical="center" wrapText="1"/>
    </xf>
  </cellXfs>
  <cellStyles count="94">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Millares" xfId="1" builtinId="3"/>
    <cellStyle name="Millares 3" xfId="2" xr:uid="{00000000-0005-0000-0000-00005B000000}"/>
    <cellStyle name="Normal" xfId="0" builtinId="0"/>
    <cellStyle name="Porcentaje" xfId="3" builtinId="5"/>
  </cellStyles>
  <dxfs count="0"/>
  <tableStyles count="0" defaultTableStyle="TableStyleMedium2" defaultPivotStyle="PivotStyleLight16"/>
  <colors>
    <mruColors>
      <color rgb="FF0597AB"/>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1866900</xdr:colOff>
      <xdr:row>1</xdr:row>
      <xdr:rowOff>38100</xdr:rowOff>
    </xdr:from>
    <xdr:to>
      <xdr:col>5</xdr:col>
      <xdr:colOff>790685</xdr:colOff>
      <xdr:row>4</xdr:row>
      <xdr:rowOff>0</xdr:rowOff>
    </xdr:to>
    <xdr:pic>
      <xdr:nvPicPr>
        <xdr:cNvPr id="2" name="Imagen 1" descr="logo-minciencias_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3600" y="215900"/>
          <a:ext cx="5197585"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1</xdr:col>
      <xdr:colOff>304800</xdr:colOff>
      <xdr:row>12</xdr:row>
      <xdr:rowOff>304800</xdr:rowOff>
    </xdr:to>
    <xdr:sp macro="" textlink="">
      <xdr:nvSpPr>
        <xdr:cNvPr id="3" name="AutoShape 3" descr="Inicio Colciencias">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2581275" y="3790950"/>
          <a:ext cx="304800" cy="30480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12</xdr:col>
      <xdr:colOff>98962</xdr:colOff>
      <xdr:row>10</xdr:row>
      <xdr:rowOff>173182</xdr:rowOff>
    </xdr:from>
    <xdr:to>
      <xdr:col>12</xdr:col>
      <xdr:colOff>403762</xdr:colOff>
      <xdr:row>10</xdr:row>
      <xdr:rowOff>477982</xdr:rowOff>
    </xdr:to>
    <xdr:sp macro="" textlink="">
      <xdr:nvSpPr>
        <xdr:cNvPr id="4" name="AutoShape 2" descr="Inicio Colciencias">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14324611" y="2523507"/>
          <a:ext cx="304800" cy="30480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10</xdr:row>
      <xdr:rowOff>304800</xdr:rowOff>
    </xdr:to>
    <xdr:sp macro="" textlink="">
      <xdr:nvSpPr>
        <xdr:cNvPr id="5" name="AutoShape 2" descr="Inicio Colciencias">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858000" y="2676525"/>
          <a:ext cx="304800" cy="30480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1</xdr:col>
      <xdr:colOff>0</xdr:colOff>
      <xdr:row>12</xdr:row>
      <xdr:rowOff>0</xdr:rowOff>
    </xdr:from>
    <xdr:to>
      <xdr:col>1</xdr:col>
      <xdr:colOff>304800</xdr:colOff>
      <xdr:row>12</xdr:row>
      <xdr:rowOff>304800</xdr:rowOff>
    </xdr:to>
    <xdr:sp macro="" textlink="">
      <xdr:nvSpPr>
        <xdr:cNvPr id="6" name="AutoShape 3" descr="Inicio Colciencias">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2581275" y="3790950"/>
          <a:ext cx="304800" cy="30480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1</xdr:col>
      <xdr:colOff>166666</xdr:colOff>
      <xdr:row>2</xdr:row>
      <xdr:rowOff>146725</xdr:rowOff>
    </xdr:from>
    <xdr:to>
      <xdr:col>3</xdr:col>
      <xdr:colOff>1337362</xdr:colOff>
      <xdr:row>5</xdr:row>
      <xdr:rowOff>241976</xdr:rowOff>
    </xdr:to>
    <xdr:pic>
      <xdr:nvPicPr>
        <xdr:cNvPr id="7" name="Imagen 6" descr="logo-minciencias_1.png">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04" y="646788"/>
          <a:ext cx="4575883" cy="976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297656</xdr:colOff>
      <xdr:row>0</xdr:row>
      <xdr:rowOff>54430</xdr:rowOff>
    </xdr:from>
    <xdr:to>
      <xdr:col>1</xdr:col>
      <xdr:colOff>2346807</xdr:colOff>
      <xdr:row>2</xdr:row>
      <xdr:rowOff>244929</xdr:rowOff>
    </xdr:to>
    <xdr:pic>
      <xdr:nvPicPr>
        <xdr:cNvPr id="2" name="Imagen 1" descr="Departamento Administrativo de Ciencia, Tecnología e Innovación. COLCIENCIAS">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656" y="54430"/>
          <a:ext cx="4154176" cy="838199"/>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304800</xdr:colOff>
      <xdr:row>9</xdr:row>
      <xdr:rowOff>307975</xdr:rowOff>
    </xdr:to>
    <xdr:sp macro="" textlink="">
      <xdr:nvSpPr>
        <xdr:cNvPr id="3" name="AutoShape 3" descr="Inicio Colciencias">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2581275" y="3790950"/>
          <a:ext cx="304800" cy="30480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1</xdr:col>
      <xdr:colOff>0</xdr:colOff>
      <xdr:row>8</xdr:row>
      <xdr:rowOff>0</xdr:rowOff>
    </xdr:from>
    <xdr:to>
      <xdr:col>1</xdr:col>
      <xdr:colOff>304800</xdr:colOff>
      <xdr:row>9</xdr:row>
      <xdr:rowOff>85725</xdr:rowOff>
    </xdr:to>
    <xdr:sp macro="" textlink="">
      <xdr:nvSpPr>
        <xdr:cNvPr id="4" name="AutoShape 2" descr="Inicio Colciencias">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858000" y="2676525"/>
          <a:ext cx="304800" cy="30480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topLeftCell="A2" workbookViewId="0">
      <selection activeCell="B2" sqref="B2:G11"/>
    </sheetView>
  </sheetViews>
  <sheetFormatPr baseColWidth="10" defaultRowHeight="15" x14ac:dyDescent="0.25"/>
  <cols>
    <col min="1" max="1" width="3.42578125" customWidth="1"/>
    <col min="2" max="2" width="53.28515625" customWidth="1"/>
    <col min="3" max="3" width="3.42578125" customWidth="1"/>
    <col min="4" max="4" width="14.7109375" style="7" customWidth="1"/>
    <col min="5" max="5" width="10.85546875" style="7"/>
    <col min="6" max="6" width="21.28515625" customWidth="1"/>
    <col min="7" max="7" width="14.28515625" customWidth="1"/>
    <col min="8" max="8" width="3.42578125" customWidth="1"/>
  </cols>
  <sheetData>
    <row r="1" spans="1:8" x14ac:dyDescent="0.25">
      <c r="A1" s="11"/>
      <c r="B1" s="11"/>
      <c r="C1" s="11"/>
      <c r="D1" s="12"/>
      <c r="E1" s="12"/>
      <c r="F1" s="11"/>
      <c r="G1" s="11"/>
      <c r="H1" s="11"/>
    </row>
    <row r="2" spans="1:8" ht="39" customHeight="1" x14ac:dyDescent="0.25">
      <c r="A2" s="11"/>
      <c r="B2" s="131" t="s">
        <v>160</v>
      </c>
      <c r="C2" s="131"/>
      <c r="D2" s="131"/>
      <c r="E2" s="131"/>
      <c r="F2" s="131"/>
      <c r="G2" s="131"/>
      <c r="H2" s="11"/>
    </row>
    <row r="3" spans="1:8" ht="24.95" customHeight="1" x14ac:dyDescent="0.25">
      <c r="A3" s="11"/>
      <c r="B3" s="131"/>
      <c r="C3" s="131"/>
      <c r="D3" s="131"/>
      <c r="E3" s="131"/>
      <c r="F3" s="131"/>
      <c r="G3" s="131"/>
      <c r="H3" s="11"/>
    </row>
    <row r="4" spans="1:8" x14ac:dyDescent="0.25">
      <c r="A4" s="11"/>
      <c r="B4" s="131"/>
      <c r="C4" s="131"/>
      <c r="D4" s="131"/>
      <c r="E4" s="131"/>
      <c r="F4" s="131"/>
      <c r="G4" s="131"/>
      <c r="H4" s="11"/>
    </row>
    <row r="5" spans="1:8" x14ac:dyDescent="0.25">
      <c r="A5" s="11"/>
      <c r="B5" s="131"/>
      <c r="C5" s="131"/>
      <c r="D5" s="131"/>
      <c r="E5" s="131"/>
      <c r="F5" s="131"/>
      <c r="G5" s="131"/>
      <c r="H5" s="11"/>
    </row>
    <row r="6" spans="1:8" x14ac:dyDescent="0.25">
      <c r="A6" s="11"/>
      <c r="B6" s="131"/>
      <c r="C6" s="131"/>
      <c r="D6" s="131"/>
      <c r="E6" s="131"/>
      <c r="F6" s="131"/>
      <c r="G6" s="131"/>
      <c r="H6" s="11"/>
    </row>
    <row r="7" spans="1:8" x14ac:dyDescent="0.25">
      <c r="A7" s="11"/>
      <c r="B7" s="131"/>
      <c r="C7" s="131"/>
      <c r="D7" s="131"/>
      <c r="E7" s="131"/>
      <c r="F7" s="131"/>
      <c r="G7" s="131"/>
      <c r="H7" s="11"/>
    </row>
    <row r="8" spans="1:8" x14ac:dyDescent="0.25">
      <c r="A8" s="11"/>
      <c r="B8" s="131"/>
      <c r="C8" s="131"/>
      <c r="D8" s="131"/>
      <c r="E8" s="131"/>
      <c r="F8" s="131"/>
      <c r="G8" s="131"/>
      <c r="H8" s="11"/>
    </row>
    <row r="9" spans="1:8" x14ac:dyDescent="0.25">
      <c r="A9" s="11"/>
      <c r="B9" s="131"/>
      <c r="C9" s="131"/>
      <c r="D9" s="131"/>
      <c r="E9" s="131"/>
      <c r="F9" s="131"/>
      <c r="G9" s="131"/>
      <c r="H9" s="11"/>
    </row>
    <row r="10" spans="1:8" x14ac:dyDescent="0.25">
      <c r="A10" s="11"/>
      <c r="B10" s="131"/>
      <c r="C10" s="131"/>
      <c r="D10" s="131"/>
      <c r="E10" s="131"/>
      <c r="F10" s="131"/>
      <c r="G10" s="131"/>
      <c r="H10" s="11"/>
    </row>
    <row r="11" spans="1:8" ht="21.95" customHeight="1" x14ac:dyDescent="0.25">
      <c r="A11" s="11"/>
      <c r="B11" s="131"/>
      <c r="C11" s="131"/>
      <c r="D11" s="131"/>
      <c r="E11" s="131"/>
      <c r="F11" s="131"/>
      <c r="G11" s="131"/>
      <c r="H11" s="11"/>
    </row>
    <row r="12" spans="1:8" x14ac:dyDescent="0.25">
      <c r="A12" s="11"/>
      <c r="B12" s="14"/>
      <c r="C12" s="11"/>
      <c r="D12" s="12"/>
      <c r="E12" s="12"/>
      <c r="F12" s="11"/>
      <c r="G12" s="11"/>
      <c r="H12" s="11"/>
    </row>
    <row r="13" spans="1:8" ht="30" customHeight="1" x14ac:dyDescent="0.25">
      <c r="A13" s="11"/>
      <c r="B13" s="132" t="s">
        <v>145</v>
      </c>
      <c r="C13" s="11"/>
      <c r="D13" s="134" t="s">
        <v>28</v>
      </c>
      <c r="E13" s="134"/>
      <c r="F13" s="134"/>
      <c r="G13" s="134"/>
      <c r="H13" s="11"/>
    </row>
    <row r="14" spans="1:8" ht="24" customHeight="1" x14ac:dyDescent="0.25">
      <c r="A14" s="11"/>
      <c r="B14" s="133"/>
      <c r="C14" s="11"/>
      <c r="D14" s="10" t="s">
        <v>8</v>
      </c>
      <c r="E14" s="10" t="s">
        <v>9</v>
      </c>
      <c r="F14" s="10" t="s">
        <v>10</v>
      </c>
      <c r="G14" s="10" t="s">
        <v>11</v>
      </c>
      <c r="H14" s="11"/>
    </row>
    <row r="15" spans="1:8" ht="35.25" customHeight="1" x14ac:dyDescent="0.25">
      <c r="A15" s="11"/>
      <c r="B15" s="133"/>
      <c r="C15" s="11"/>
      <c r="D15" s="9">
        <v>1</v>
      </c>
      <c r="E15" s="9">
        <v>28</v>
      </c>
      <c r="F15" s="9" t="s">
        <v>72</v>
      </c>
      <c r="G15" s="9">
        <v>2019</v>
      </c>
      <c r="H15" s="11"/>
    </row>
    <row r="16" spans="1:8" ht="35.25" customHeight="1" x14ac:dyDescent="0.25">
      <c r="A16" s="11"/>
      <c r="B16" s="133"/>
      <c r="C16" s="11"/>
      <c r="D16" s="9">
        <v>2</v>
      </c>
      <c r="E16" s="9">
        <v>14</v>
      </c>
      <c r="F16" s="9" t="s">
        <v>73</v>
      </c>
      <c r="G16" s="9">
        <v>2019</v>
      </c>
      <c r="H16" s="11"/>
    </row>
    <row r="17" spans="1:8" x14ac:dyDescent="0.25">
      <c r="A17" s="11"/>
      <c r="B17" s="11"/>
      <c r="C17" s="11"/>
      <c r="D17" s="13"/>
      <c r="E17" s="13"/>
      <c r="F17" s="13"/>
      <c r="G17" s="13"/>
      <c r="H17" s="11"/>
    </row>
    <row r="25" spans="1:8" x14ac:dyDescent="0.25">
      <c r="D25" s="8"/>
    </row>
  </sheetData>
  <mergeCells count="3">
    <mergeCell ref="B2:G11"/>
    <mergeCell ref="B13:B16"/>
    <mergeCell ref="D13:G13"/>
  </mergeCells>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AB100"/>
  <sheetViews>
    <sheetView tabSelected="1" zoomScale="50" zoomScaleNormal="50" zoomScalePageLayoutView="70" workbookViewId="0">
      <pane xSplit="7" ySplit="9" topLeftCell="L10" activePane="bottomRight" state="frozen"/>
      <selection pane="topRight" activeCell="I1" sqref="I1"/>
      <selection pane="bottomLeft" activeCell="A9" sqref="A9"/>
      <selection pane="bottomRight" activeCell="G5" sqref="G5:R5"/>
    </sheetView>
  </sheetViews>
  <sheetFormatPr baseColWidth="10" defaultColWidth="11.42578125" defaultRowHeight="14.25" x14ac:dyDescent="0.25"/>
  <cols>
    <col min="1" max="1" width="1.140625" style="2" customWidth="1"/>
    <col min="2" max="2" width="28.140625" style="2" customWidth="1"/>
    <col min="3" max="3" width="22.7109375" style="2" customWidth="1"/>
    <col min="4" max="4" width="22.140625" style="2" customWidth="1"/>
    <col min="5" max="5" width="1.140625" style="2" customWidth="1"/>
    <col min="6" max="6" width="10.42578125" style="2" customWidth="1"/>
    <col min="7" max="7" width="29.7109375" style="2" customWidth="1"/>
    <col min="8" max="8" width="14.42578125" style="2" bestFit="1" customWidth="1"/>
    <col min="9" max="12" width="13" style="2" bestFit="1" customWidth="1"/>
    <col min="13" max="13" width="17.7109375" style="2" bestFit="1" customWidth="1"/>
    <col min="14" max="14" width="25.85546875" style="2" customWidth="1"/>
    <col min="15" max="15" width="19.140625" style="2" customWidth="1"/>
    <col min="16" max="16" width="26.140625" style="2" customWidth="1"/>
    <col min="17" max="17" width="53.85546875" style="2" customWidth="1"/>
    <col min="18" max="18" width="3.7109375" style="2" customWidth="1"/>
    <col min="19" max="19" width="24.7109375" style="2" customWidth="1"/>
    <col min="20" max="20" width="13" style="2" customWidth="1"/>
    <col min="21" max="21" width="27.42578125" style="1" customWidth="1"/>
    <col min="22" max="22" width="28.7109375" style="1" customWidth="1"/>
    <col min="23" max="23" width="41.85546875" style="1" customWidth="1"/>
    <col min="24" max="24" width="3.7109375" style="2" customWidth="1"/>
    <col min="25" max="25" width="77" style="2" customWidth="1"/>
    <col min="26" max="26" width="1.42578125" style="2" customWidth="1"/>
    <col min="27" max="27" width="1.85546875" style="2" customWidth="1"/>
    <col min="28" max="28" width="11.42578125" style="130"/>
    <col min="29" max="16384" width="11.42578125" style="2"/>
  </cols>
  <sheetData>
    <row r="1" spans="1:28" ht="20.100000000000001" customHeight="1" x14ac:dyDescent="0.25">
      <c r="A1" s="4"/>
      <c r="B1" s="3"/>
      <c r="C1" s="6"/>
      <c r="D1" s="4"/>
      <c r="E1" s="4"/>
      <c r="F1" s="3"/>
      <c r="G1" s="117"/>
      <c r="H1" s="117"/>
      <c r="I1" s="117"/>
      <c r="J1" s="117"/>
      <c r="K1" s="117"/>
      <c r="L1" s="117"/>
      <c r="M1" s="117"/>
      <c r="N1" s="117"/>
      <c r="O1" s="117"/>
      <c r="P1" s="117"/>
      <c r="Q1" s="117"/>
      <c r="R1" s="4"/>
      <c r="S1" s="4"/>
      <c r="T1" s="4"/>
      <c r="U1" s="4"/>
      <c r="V1" s="4"/>
      <c r="W1" s="4"/>
      <c r="X1" s="4"/>
      <c r="Y1" s="3"/>
      <c r="Z1" s="4"/>
      <c r="AA1" s="123"/>
    </row>
    <row r="2" spans="1:28" ht="20.25" customHeight="1" x14ac:dyDescent="0.25">
      <c r="A2" s="4"/>
      <c r="B2" s="159"/>
      <c r="C2" s="159"/>
      <c r="D2" s="159"/>
      <c r="E2" s="4"/>
      <c r="F2" s="3"/>
      <c r="G2" s="182" t="s">
        <v>144</v>
      </c>
      <c r="H2" s="182"/>
      <c r="I2" s="182"/>
      <c r="J2" s="182"/>
      <c r="K2" s="182"/>
      <c r="L2" s="182"/>
      <c r="M2" s="182"/>
      <c r="N2" s="182"/>
      <c r="O2" s="182"/>
      <c r="P2" s="182"/>
      <c r="Q2" s="182"/>
      <c r="R2" s="3"/>
      <c r="S2" s="3"/>
      <c r="T2" s="3"/>
      <c r="U2" s="62" t="s">
        <v>136</v>
      </c>
      <c r="V2" s="63"/>
      <c r="W2" s="4"/>
      <c r="X2" s="3"/>
      <c r="Y2" s="3"/>
      <c r="Z2" s="4"/>
      <c r="AA2" s="123"/>
    </row>
    <row r="3" spans="1:28" ht="20.25" customHeight="1" x14ac:dyDescent="0.25">
      <c r="A3" s="4"/>
      <c r="B3" s="159"/>
      <c r="C3" s="159"/>
      <c r="D3" s="159"/>
      <c r="E3" s="4"/>
      <c r="F3" s="3"/>
      <c r="G3" s="182"/>
      <c r="H3" s="182"/>
      <c r="I3" s="182"/>
      <c r="J3" s="182"/>
      <c r="K3" s="182"/>
      <c r="L3" s="182"/>
      <c r="M3" s="182"/>
      <c r="N3" s="182"/>
      <c r="O3" s="182"/>
      <c r="P3" s="182"/>
      <c r="Q3" s="182"/>
      <c r="R3" s="3"/>
      <c r="S3" s="3"/>
      <c r="T3" s="3"/>
      <c r="U3" s="64" t="s">
        <v>138</v>
      </c>
      <c r="V3" s="65"/>
      <c r="W3" s="4"/>
      <c r="X3" s="3"/>
      <c r="Y3" s="3"/>
      <c r="Z3" s="4"/>
      <c r="AA3" s="123"/>
    </row>
    <row r="4" spans="1:28" ht="20.25" customHeight="1" x14ac:dyDescent="0.25">
      <c r="A4" s="4"/>
      <c r="B4" s="159"/>
      <c r="C4" s="159"/>
      <c r="D4" s="159"/>
      <c r="E4" s="4"/>
      <c r="F4" s="3"/>
      <c r="G4" s="182"/>
      <c r="H4" s="182"/>
      <c r="I4" s="182"/>
      <c r="J4" s="182"/>
      <c r="K4" s="182"/>
      <c r="L4" s="182"/>
      <c r="M4" s="182"/>
      <c r="N4" s="182"/>
      <c r="O4" s="182"/>
      <c r="P4" s="182"/>
      <c r="Q4" s="182"/>
      <c r="R4" s="3"/>
      <c r="S4" s="3"/>
      <c r="T4" s="3"/>
      <c r="U4" s="66" t="s">
        <v>139</v>
      </c>
      <c r="V4" s="66"/>
      <c r="W4" s="4"/>
      <c r="X4" s="3"/>
      <c r="Y4" s="3"/>
      <c r="Z4" s="4"/>
      <c r="AA4" s="123"/>
    </row>
    <row r="5" spans="1:28" ht="28.5" customHeight="1" x14ac:dyDescent="0.25">
      <c r="A5" s="4"/>
      <c r="B5" s="159"/>
      <c r="C5" s="159"/>
      <c r="D5" s="159"/>
      <c r="E5" s="4"/>
      <c r="F5" s="3"/>
      <c r="G5" s="135" t="s">
        <v>162</v>
      </c>
      <c r="H5" s="135"/>
      <c r="I5" s="135"/>
      <c r="J5" s="135"/>
      <c r="K5" s="135"/>
      <c r="L5" s="135"/>
      <c r="M5" s="135"/>
      <c r="N5" s="135"/>
      <c r="O5" s="135"/>
      <c r="P5" s="135"/>
      <c r="Q5" s="135"/>
      <c r="R5" s="135"/>
      <c r="S5" s="3"/>
      <c r="T5" s="3"/>
      <c r="U5" s="66"/>
      <c r="V5" s="66"/>
      <c r="W5" s="4"/>
      <c r="X5" s="3"/>
      <c r="Y5" s="3"/>
      <c r="Z5" s="4"/>
      <c r="AA5" s="123"/>
    </row>
    <row r="6" spans="1:28" ht="33" customHeight="1" thickBot="1" x14ac:dyDescent="0.3">
      <c r="A6" s="4"/>
      <c r="B6" s="159"/>
      <c r="C6" s="159"/>
      <c r="D6" s="159"/>
      <c r="E6" s="4"/>
      <c r="F6" s="3"/>
      <c r="G6" s="135" t="s">
        <v>161</v>
      </c>
      <c r="H6" s="135"/>
      <c r="I6" s="135"/>
      <c r="J6" s="135"/>
      <c r="K6" s="135"/>
      <c r="L6" s="135"/>
      <c r="M6" s="135"/>
      <c r="N6" s="135"/>
      <c r="O6" s="135"/>
      <c r="P6" s="135"/>
      <c r="Q6" s="135"/>
      <c r="R6" s="135"/>
      <c r="S6" s="3"/>
      <c r="T6" s="3"/>
      <c r="U6" s="4"/>
      <c r="V6" s="4"/>
      <c r="W6" s="4"/>
      <c r="X6" s="3"/>
      <c r="Y6" s="3"/>
      <c r="Z6" s="4"/>
      <c r="AA6" s="123"/>
    </row>
    <row r="7" spans="1:28" ht="15.95" customHeight="1" thickBot="1" x14ac:dyDescent="0.3">
      <c r="A7" s="4"/>
      <c r="B7" s="3"/>
      <c r="C7" s="6"/>
      <c r="D7" s="4"/>
      <c r="E7" s="4"/>
      <c r="F7" s="3"/>
      <c r="G7" s="118"/>
      <c r="H7" s="118"/>
      <c r="I7" s="118"/>
      <c r="J7" s="118"/>
      <c r="K7" s="118"/>
      <c r="L7" s="118"/>
      <c r="M7" s="3"/>
      <c r="N7" s="3"/>
      <c r="O7" s="176" t="s">
        <v>134</v>
      </c>
      <c r="P7" s="177"/>
      <c r="Q7" s="178"/>
      <c r="R7" s="4"/>
      <c r="S7" s="179" t="s">
        <v>147</v>
      </c>
      <c r="T7" s="180"/>
      <c r="U7" s="180"/>
      <c r="V7" s="180"/>
      <c r="W7" s="181"/>
      <c r="X7" s="4"/>
      <c r="Y7" s="3"/>
      <c r="Z7" s="4"/>
      <c r="AA7" s="123"/>
    </row>
    <row r="8" spans="1:28" ht="28.5" customHeight="1" x14ac:dyDescent="0.25">
      <c r="A8" s="4"/>
      <c r="B8" s="166" t="s">
        <v>0</v>
      </c>
      <c r="C8" s="168" t="s">
        <v>69</v>
      </c>
      <c r="D8" s="170" t="s">
        <v>59</v>
      </c>
      <c r="E8" s="4"/>
      <c r="F8" s="166" t="s">
        <v>6</v>
      </c>
      <c r="G8" s="172" t="s">
        <v>1</v>
      </c>
      <c r="H8" s="174" t="s">
        <v>2</v>
      </c>
      <c r="I8" s="174" t="s">
        <v>135</v>
      </c>
      <c r="J8" s="174"/>
      <c r="K8" s="174"/>
      <c r="L8" s="174"/>
      <c r="M8" s="174"/>
      <c r="N8" s="160" t="s">
        <v>3</v>
      </c>
      <c r="O8" s="162" t="s">
        <v>137</v>
      </c>
      <c r="P8" s="162" t="s">
        <v>89</v>
      </c>
      <c r="Q8" s="162" t="s">
        <v>124</v>
      </c>
      <c r="R8" s="4"/>
      <c r="S8" s="183" t="s">
        <v>82</v>
      </c>
      <c r="T8" s="183" t="s">
        <v>133</v>
      </c>
      <c r="U8" s="183" t="s">
        <v>21</v>
      </c>
      <c r="V8" s="183" t="s">
        <v>22</v>
      </c>
      <c r="W8" s="185" t="s">
        <v>23</v>
      </c>
      <c r="X8" s="4"/>
      <c r="Y8" s="164" t="s">
        <v>7</v>
      </c>
      <c r="Z8" s="4"/>
      <c r="AA8" s="123"/>
    </row>
    <row r="9" spans="1:28" ht="36" customHeight="1" thickBot="1" x14ac:dyDescent="0.3">
      <c r="A9" s="4"/>
      <c r="B9" s="167"/>
      <c r="C9" s="169"/>
      <c r="D9" s="171"/>
      <c r="E9" s="4"/>
      <c r="F9" s="167"/>
      <c r="G9" s="173"/>
      <c r="H9" s="175"/>
      <c r="I9" s="29">
        <v>2019</v>
      </c>
      <c r="J9" s="29">
        <v>2020</v>
      </c>
      <c r="K9" s="29">
        <v>2021</v>
      </c>
      <c r="L9" s="29">
        <v>2022</v>
      </c>
      <c r="M9" s="29" t="s">
        <v>4</v>
      </c>
      <c r="N9" s="161"/>
      <c r="O9" s="163"/>
      <c r="P9" s="163"/>
      <c r="Q9" s="163"/>
      <c r="R9" s="4"/>
      <c r="S9" s="184"/>
      <c r="T9" s="184"/>
      <c r="U9" s="184"/>
      <c r="V9" s="184"/>
      <c r="W9" s="186"/>
      <c r="X9" s="4"/>
      <c r="Y9" s="165"/>
      <c r="Z9" s="4"/>
      <c r="AA9" s="123"/>
    </row>
    <row r="10" spans="1:28" ht="19.5" customHeight="1" x14ac:dyDescent="0.25">
      <c r="A10" s="4"/>
      <c r="B10" s="3"/>
      <c r="C10" s="6"/>
      <c r="D10" s="4"/>
      <c r="E10" s="4"/>
      <c r="F10" s="3"/>
      <c r="G10" s="3"/>
      <c r="H10" s="3"/>
      <c r="I10" s="3"/>
      <c r="J10" s="3"/>
      <c r="K10" s="3"/>
      <c r="L10" s="3"/>
      <c r="M10" s="3"/>
      <c r="N10" s="3"/>
      <c r="O10" s="3"/>
      <c r="P10" s="120">
        <f>1.21/0.5</f>
        <v>2.42</v>
      </c>
      <c r="Q10" s="3"/>
      <c r="R10" s="4"/>
      <c r="S10" s="120">
        <f>1.21/0.5</f>
        <v>2.42</v>
      </c>
      <c r="T10" s="119"/>
      <c r="U10" s="119"/>
      <c r="V10" s="120">
        <f>1.21/0.75</f>
        <v>1.6133333333333333</v>
      </c>
      <c r="W10" s="4"/>
      <c r="X10" s="4"/>
      <c r="Y10" s="3"/>
      <c r="Z10" s="4"/>
      <c r="AA10" s="123"/>
    </row>
    <row r="11" spans="1:28" s="1" customFormat="1" ht="281.25" customHeight="1" x14ac:dyDescent="0.25">
      <c r="A11" s="5"/>
      <c r="B11" s="138" t="s">
        <v>29</v>
      </c>
      <c r="C11" s="139">
        <f>1943000000+1000000000</f>
        <v>2943000000</v>
      </c>
      <c r="D11" s="139">
        <f>1943000000+1000000000</f>
        <v>2943000000</v>
      </c>
      <c r="E11" s="5"/>
      <c r="F11" s="31" t="s">
        <v>66</v>
      </c>
      <c r="G11" s="31" t="s">
        <v>36</v>
      </c>
      <c r="H11" s="41" t="s">
        <v>55</v>
      </c>
      <c r="I11" s="41" t="s">
        <v>55</v>
      </c>
      <c r="J11" s="41" t="s">
        <v>55</v>
      </c>
      <c r="K11" s="41" t="s">
        <v>58</v>
      </c>
      <c r="L11" s="41" t="s">
        <v>58</v>
      </c>
      <c r="M11" s="41" t="s">
        <v>58</v>
      </c>
      <c r="N11" s="150" t="s">
        <v>60</v>
      </c>
      <c r="O11" s="41" t="s">
        <v>87</v>
      </c>
      <c r="P11" s="78">
        <v>1</v>
      </c>
      <c r="Q11" s="127" t="s">
        <v>105</v>
      </c>
      <c r="R11" s="5"/>
      <c r="S11" s="54">
        <v>1</v>
      </c>
      <c r="T11" s="52">
        <v>1.21</v>
      </c>
      <c r="U11" s="75">
        <v>1.21</v>
      </c>
      <c r="V11" s="126" t="s">
        <v>140</v>
      </c>
      <c r="W11" s="52" t="s">
        <v>125</v>
      </c>
      <c r="X11" s="5"/>
      <c r="Y11" s="74"/>
      <c r="Z11" s="5"/>
      <c r="AA11" s="123"/>
      <c r="AB11" s="130"/>
    </row>
    <row r="12" spans="1:28" s="1" customFormat="1" ht="15" customHeight="1" x14ac:dyDescent="0.25">
      <c r="A12" s="5"/>
      <c r="B12" s="138"/>
      <c r="C12" s="139"/>
      <c r="D12" s="139"/>
      <c r="E12" s="5"/>
      <c r="F12" s="3"/>
      <c r="G12" s="3"/>
      <c r="H12" s="3"/>
      <c r="I12" s="3"/>
      <c r="J12" s="57">
        <v>0.8</v>
      </c>
      <c r="K12" s="57">
        <v>0.85</v>
      </c>
      <c r="L12" s="57">
        <v>0.89</v>
      </c>
      <c r="M12" s="57">
        <v>0.89</v>
      </c>
      <c r="N12" s="151"/>
      <c r="O12" s="3"/>
      <c r="P12" s="120">
        <f>98/77</f>
        <v>1.2727272727272727</v>
      </c>
      <c r="Q12" s="3"/>
      <c r="R12" s="5"/>
      <c r="S12" s="120">
        <f>98/77</f>
        <v>1.2727272727272727</v>
      </c>
      <c r="T12" s="120"/>
      <c r="U12" s="120"/>
      <c r="V12" s="120">
        <f>98/89</f>
        <v>1.101123595505618</v>
      </c>
      <c r="W12" s="5"/>
      <c r="X12" s="5"/>
      <c r="Y12" s="3"/>
      <c r="Z12" s="5"/>
      <c r="AA12" s="123"/>
      <c r="AB12" s="130"/>
    </row>
    <row r="13" spans="1:28" s="1" customFormat="1" ht="207" customHeight="1" x14ac:dyDescent="0.25">
      <c r="A13" s="5"/>
      <c r="B13" s="138"/>
      <c r="C13" s="139"/>
      <c r="D13" s="139"/>
      <c r="E13" s="5"/>
      <c r="F13" s="31" t="s">
        <v>66</v>
      </c>
      <c r="G13" s="76" t="s">
        <v>37</v>
      </c>
      <c r="H13" s="77">
        <v>0.31</v>
      </c>
      <c r="I13" s="78">
        <v>0.77</v>
      </c>
      <c r="J13" s="78">
        <v>0.8</v>
      </c>
      <c r="K13" s="78">
        <v>0.85</v>
      </c>
      <c r="L13" s="78">
        <v>0.89</v>
      </c>
      <c r="M13" s="78">
        <v>0.89</v>
      </c>
      <c r="N13" s="152"/>
      <c r="O13" s="78">
        <v>0.98</v>
      </c>
      <c r="P13" s="78">
        <v>1</v>
      </c>
      <c r="Q13" s="78" t="s">
        <v>106</v>
      </c>
      <c r="R13" s="79"/>
      <c r="S13" s="80" t="s">
        <v>150</v>
      </c>
      <c r="T13" s="80">
        <v>0.98</v>
      </c>
      <c r="U13" s="80" t="s">
        <v>149</v>
      </c>
      <c r="V13" s="80" t="s">
        <v>148</v>
      </c>
      <c r="W13" s="81" t="s">
        <v>126</v>
      </c>
      <c r="X13" s="5"/>
      <c r="Y13" s="74"/>
      <c r="Z13" s="5"/>
      <c r="AA13" s="123"/>
      <c r="AB13" s="130"/>
    </row>
    <row r="14" spans="1:28" s="1" customFormat="1" ht="15" customHeight="1" x14ac:dyDescent="0.25">
      <c r="A14" s="5"/>
      <c r="B14" s="138"/>
      <c r="C14" s="139"/>
      <c r="D14" s="139"/>
      <c r="E14" s="5"/>
      <c r="F14" s="3"/>
      <c r="G14" s="3"/>
      <c r="H14" s="3"/>
      <c r="I14" s="3"/>
      <c r="J14" s="57">
        <v>1</v>
      </c>
      <c r="K14" s="57">
        <v>1</v>
      </c>
      <c r="L14" s="57">
        <v>1</v>
      </c>
      <c r="M14" s="57">
        <v>1</v>
      </c>
      <c r="N14" s="152"/>
      <c r="O14" s="3"/>
      <c r="P14" s="120">
        <v>1</v>
      </c>
      <c r="Q14" s="3"/>
      <c r="R14" s="79"/>
      <c r="S14" s="120">
        <v>1</v>
      </c>
      <c r="T14" s="120"/>
      <c r="U14" s="120"/>
      <c r="V14" s="128">
        <f>52.04%*100%/400%</f>
        <v>0.13009999999999999</v>
      </c>
      <c r="W14" s="79"/>
      <c r="X14" s="5"/>
      <c r="Y14" s="3"/>
      <c r="Z14" s="5"/>
      <c r="AA14" s="123"/>
      <c r="AB14" s="130"/>
    </row>
    <row r="15" spans="1:28" s="1" customFormat="1" ht="181.5" customHeight="1" x14ac:dyDescent="0.25">
      <c r="A15" s="5"/>
      <c r="B15" s="138"/>
      <c r="C15" s="139"/>
      <c r="D15" s="139"/>
      <c r="E15" s="5"/>
      <c r="F15" s="31" t="s">
        <v>66</v>
      </c>
      <c r="G15" s="82" t="s">
        <v>38</v>
      </c>
      <c r="H15" s="83">
        <v>1</v>
      </c>
      <c r="I15" s="83">
        <v>1</v>
      </c>
      <c r="J15" s="83">
        <v>1</v>
      </c>
      <c r="K15" s="83">
        <v>1</v>
      </c>
      <c r="L15" s="83">
        <v>1</v>
      </c>
      <c r="M15" s="83">
        <v>1</v>
      </c>
      <c r="N15" s="153"/>
      <c r="O15" s="83">
        <v>1</v>
      </c>
      <c r="P15" s="83">
        <v>1</v>
      </c>
      <c r="Q15" s="83" t="s">
        <v>107</v>
      </c>
      <c r="R15" s="79"/>
      <c r="S15" s="53">
        <v>1</v>
      </c>
      <c r="T15" s="53">
        <v>1</v>
      </c>
      <c r="U15" s="70">
        <v>0.52039999999999997</v>
      </c>
      <c r="V15" s="113" t="s">
        <v>127</v>
      </c>
      <c r="W15" s="69" t="s">
        <v>128</v>
      </c>
      <c r="X15" s="5"/>
      <c r="Y15" s="112" t="s">
        <v>155</v>
      </c>
      <c r="Z15" s="5"/>
      <c r="AA15" s="123"/>
      <c r="AB15" s="130"/>
    </row>
    <row r="16" spans="1:28" s="1" customFormat="1" ht="15" x14ac:dyDescent="0.25">
      <c r="A16" s="5"/>
      <c r="B16" s="3"/>
      <c r="C16" s="3"/>
      <c r="D16" s="3"/>
      <c r="E16" s="4"/>
      <c r="F16" s="3"/>
      <c r="G16" s="3"/>
      <c r="H16" s="3"/>
      <c r="I16" s="3">
        <v>216</v>
      </c>
      <c r="J16" s="59">
        <v>179</v>
      </c>
      <c r="K16" s="59">
        <v>179</v>
      </c>
      <c r="L16" s="59">
        <v>179</v>
      </c>
      <c r="M16" s="3">
        <v>753</v>
      </c>
      <c r="N16" s="3"/>
      <c r="O16" s="3"/>
      <c r="P16" s="120">
        <f>217/216</f>
        <v>1.0046296296296295</v>
      </c>
      <c r="Q16" s="3"/>
      <c r="R16" s="4"/>
      <c r="S16" s="120">
        <f>217/216</f>
        <v>1.0046296296296295</v>
      </c>
      <c r="T16" s="120"/>
      <c r="U16" s="120"/>
      <c r="V16" s="120">
        <f>217/753</f>
        <v>0.28818061088977426</v>
      </c>
      <c r="W16" s="79"/>
      <c r="X16" s="4"/>
      <c r="Y16" s="3"/>
      <c r="Z16" s="5"/>
      <c r="AA16" s="123"/>
      <c r="AB16" s="130"/>
    </row>
    <row r="17" spans="1:28" s="1" customFormat="1" ht="15.95" customHeight="1" x14ac:dyDescent="0.25">
      <c r="A17" s="5"/>
      <c r="B17" s="140" t="s">
        <v>30</v>
      </c>
      <c r="C17" s="139">
        <f>57994000000+50000000000+29414000000+54856000000+66771000000</f>
        <v>259035000000</v>
      </c>
      <c r="D17" s="139">
        <f>57994000000+50000000000+29414000000+54856000000+66771000000</f>
        <v>259035000000</v>
      </c>
      <c r="E17" s="5"/>
      <c r="F17" s="31" t="s">
        <v>67</v>
      </c>
      <c r="G17" s="82" t="s">
        <v>64</v>
      </c>
      <c r="H17" s="143">
        <v>1200</v>
      </c>
      <c r="I17" s="84">
        <f>195+24</f>
        <v>219</v>
      </c>
      <c r="J17" s="143">
        <v>179</v>
      </c>
      <c r="K17" s="143">
        <v>179</v>
      </c>
      <c r="L17" s="143">
        <v>179</v>
      </c>
      <c r="M17" s="85">
        <v>756</v>
      </c>
      <c r="N17" s="190" t="s">
        <v>61</v>
      </c>
      <c r="O17" s="143">
        <v>217</v>
      </c>
      <c r="P17" s="196">
        <v>1</v>
      </c>
      <c r="Q17" s="143" t="s">
        <v>108</v>
      </c>
      <c r="R17" s="79"/>
      <c r="S17" s="213">
        <v>1</v>
      </c>
      <c r="T17" s="188">
        <v>217</v>
      </c>
      <c r="U17" s="188">
        <v>217</v>
      </c>
      <c r="V17" s="207">
        <v>0.28818061088977426</v>
      </c>
      <c r="W17" s="224" t="s">
        <v>129</v>
      </c>
      <c r="X17" s="5"/>
      <c r="Y17" s="225"/>
      <c r="Z17" s="5"/>
      <c r="AA17" s="123"/>
      <c r="AB17" s="130"/>
    </row>
    <row r="18" spans="1:28" s="1" customFormat="1" ht="33" x14ac:dyDescent="0.25">
      <c r="A18" s="5"/>
      <c r="B18" s="141"/>
      <c r="C18" s="139"/>
      <c r="D18" s="139"/>
      <c r="E18" s="5"/>
      <c r="F18" s="45" t="s">
        <v>68</v>
      </c>
      <c r="G18" s="86" t="s">
        <v>39</v>
      </c>
      <c r="H18" s="143"/>
      <c r="I18" s="87">
        <v>216</v>
      </c>
      <c r="J18" s="143"/>
      <c r="K18" s="143"/>
      <c r="L18" s="143"/>
      <c r="M18" s="88">
        <v>753</v>
      </c>
      <c r="N18" s="191"/>
      <c r="O18" s="143"/>
      <c r="P18" s="196"/>
      <c r="Q18" s="143"/>
      <c r="R18" s="79"/>
      <c r="S18" s="214"/>
      <c r="T18" s="189"/>
      <c r="U18" s="189"/>
      <c r="V18" s="208"/>
      <c r="W18" s="224"/>
      <c r="X18" s="5"/>
      <c r="Y18" s="225"/>
      <c r="Z18" s="5"/>
      <c r="AA18" s="123"/>
      <c r="AB18" s="130"/>
    </row>
    <row r="19" spans="1:28" s="1" customFormat="1" ht="15" customHeight="1" x14ac:dyDescent="0.25">
      <c r="A19" s="5"/>
      <c r="B19" s="141"/>
      <c r="C19" s="139"/>
      <c r="D19" s="139"/>
      <c r="E19" s="5"/>
      <c r="F19" s="3"/>
      <c r="G19" s="3"/>
      <c r="H19" s="3"/>
      <c r="I19" s="3">
        <v>12000</v>
      </c>
      <c r="J19" s="3">
        <v>13000</v>
      </c>
      <c r="K19" s="3">
        <v>14500</v>
      </c>
      <c r="L19" s="3">
        <v>15500</v>
      </c>
      <c r="M19" s="3">
        <v>55000</v>
      </c>
      <c r="N19" s="191"/>
      <c r="O19" s="3"/>
      <c r="P19" s="120">
        <f>12388/12000</f>
        <v>1.0323333333333333</v>
      </c>
      <c r="Q19" s="3"/>
      <c r="R19" s="79"/>
      <c r="S19" s="120">
        <f>12388/12000</f>
        <v>1.0323333333333333</v>
      </c>
      <c r="T19" s="120"/>
      <c r="U19" s="120"/>
      <c r="V19" s="120">
        <f>8825/55000</f>
        <v>0.16045454545454546</v>
      </c>
      <c r="W19" s="79"/>
      <c r="X19" s="5"/>
      <c r="Y19" s="3"/>
      <c r="Z19" s="5"/>
      <c r="AA19" s="123"/>
      <c r="AB19" s="130"/>
    </row>
    <row r="20" spans="1:28" s="1" customFormat="1" ht="213" customHeight="1" x14ac:dyDescent="0.25">
      <c r="A20" s="5"/>
      <c r="B20" s="141"/>
      <c r="C20" s="139"/>
      <c r="D20" s="139"/>
      <c r="E20" s="5"/>
      <c r="F20" s="31" t="s">
        <v>66</v>
      </c>
      <c r="G20" s="82" t="s">
        <v>40</v>
      </c>
      <c r="H20" s="89">
        <v>28998</v>
      </c>
      <c r="I20" s="89">
        <v>12000</v>
      </c>
      <c r="J20" s="89">
        <v>13000</v>
      </c>
      <c r="K20" s="89">
        <v>14500</v>
      </c>
      <c r="L20" s="89">
        <v>15500</v>
      </c>
      <c r="M20" s="89">
        <f>+I20+J20+K20+L20</f>
        <v>55000</v>
      </c>
      <c r="N20" s="191"/>
      <c r="O20" s="89" t="s">
        <v>90</v>
      </c>
      <c r="P20" s="80">
        <v>1</v>
      </c>
      <c r="Q20" s="89" t="s">
        <v>109</v>
      </c>
      <c r="R20" s="79"/>
      <c r="S20" s="114">
        <v>1</v>
      </c>
      <c r="T20" s="67">
        <v>12388</v>
      </c>
      <c r="U20" s="72">
        <v>8825</v>
      </c>
      <c r="V20" s="111">
        <v>0.16045454545454546</v>
      </c>
      <c r="W20" s="67" t="s">
        <v>129</v>
      </c>
      <c r="X20" s="5"/>
      <c r="Y20" s="73" t="s">
        <v>156</v>
      </c>
      <c r="Z20" s="5"/>
      <c r="AA20" s="123"/>
      <c r="AB20" s="130"/>
    </row>
    <row r="21" spans="1:28" s="1" customFormat="1" ht="18" customHeight="1" x14ac:dyDescent="0.25">
      <c r="A21" s="5"/>
      <c r="B21" s="141"/>
      <c r="C21" s="139"/>
      <c r="D21" s="139"/>
      <c r="E21" s="5"/>
      <c r="F21" s="3"/>
      <c r="G21" s="3"/>
      <c r="H21" s="3"/>
      <c r="I21" s="3">
        <v>0.89</v>
      </c>
      <c r="J21" s="3">
        <v>0.9</v>
      </c>
      <c r="K21" s="3">
        <v>0.9</v>
      </c>
      <c r="L21" s="3">
        <v>0.91</v>
      </c>
      <c r="M21" s="3">
        <v>0.91</v>
      </c>
      <c r="N21" s="191"/>
      <c r="O21" s="3"/>
      <c r="P21" s="120">
        <f>0.89/0.89</f>
        <v>1</v>
      </c>
      <c r="Q21" s="3"/>
      <c r="R21" s="79"/>
      <c r="S21" s="120">
        <f>0.89/0.89</f>
        <v>1</v>
      </c>
      <c r="T21" s="120"/>
      <c r="U21" s="120"/>
      <c r="V21" s="120">
        <f>0.89/0.91</f>
        <v>0.97802197802197799</v>
      </c>
      <c r="W21" s="79"/>
      <c r="X21" s="5"/>
      <c r="Y21" s="3"/>
      <c r="Z21" s="5"/>
      <c r="AA21" s="123"/>
      <c r="AB21" s="130"/>
    </row>
    <row r="22" spans="1:28" s="1" customFormat="1" ht="39.950000000000003" customHeight="1" x14ac:dyDescent="0.25">
      <c r="A22" s="5"/>
      <c r="B22" s="141"/>
      <c r="C22" s="139"/>
      <c r="D22" s="139"/>
      <c r="E22" s="5"/>
      <c r="F22" s="31" t="s">
        <v>66</v>
      </c>
      <c r="G22" s="82" t="s">
        <v>41</v>
      </c>
      <c r="H22" s="89" t="s">
        <v>56</v>
      </c>
      <c r="I22" s="89" t="s">
        <v>65</v>
      </c>
      <c r="J22" s="90">
        <v>0.9</v>
      </c>
      <c r="K22" s="90">
        <v>0.9</v>
      </c>
      <c r="L22" s="90">
        <v>0.91</v>
      </c>
      <c r="M22" s="90">
        <v>0.91</v>
      </c>
      <c r="N22" s="191"/>
      <c r="O22" s="91" t="s">
        <v>91</v>
      </c>
      <c r="P22" s="91">
        <v>1</v>
      </c>
      <c r="Q22" s="91" t="s">
        <v>110</v>
      </c>
      <c r="R22" s="79"/>
      <c r="S22" s="68">
        <v>1</v>
      </c>
      <c r="T22" s="67">
        <v>0.89</v>
      </c>
      <c r="U22" s="67">
        <v>0.89</v>
      </c>
      <c r="V22" s="68">
        <v>0.97802197802197799</v>
      </c>
      <c r="W22" s="69" t="s">
        <v>129</v>
      </c>
      <c r="X22" s="5"/>
      <c r="Y22" s="49"/>
      <c r="Z22" s="5"/>
      <c r="AA22" s="123"/>
      <c r="AB22" s="130"/>
    </row>
    <row r="23" spans="1:28" s="1" customFormat="1" ht="15" customHeight="1" x14ac:dyDescent="0.25">
      <c r="A23" s="3"/>
      <c r="B23" s="3"/>
      <c r="C23" s="3"/>
      <c r="D23" s="3"/>
      <c r="E23" s="3"/>
      <c r="F23" s="3"/>
      <c r="G23" s="3"/>
      <c r="H23" s="3"/>
      <c r="I23" s="3">
        <v>3500</v>
      </c>
      <c r="J23" s="3">
        <v>5000</v>
      </c>
      <c r="K23" s="3">
        <v>17000</v>
      </c>
      <c r="L23" s="3">
        <v>8500</v>
      </c>
      <c r="M23" s="3">
        <v>34000</v>
      </c>
      <c r="N23" s="191"/>
      <c r="O23" s="3"/>
      <c r="P23" s="120">
        <f>3776/3500</f>
        <v>1.078857142857143</v>
      </c>
      <c r="Q23" s="3"/>
      <c r="R23" s="79"/>
      <c r="S23" s="120">
        <f>3776/3500</f>
        <v>1.078857142857143</v>
      </c>
      <c r="T23" s="120"/>
      <c r="U23" s="120"/>
      <c r="V23" s="120">
        <f>3776/34000</f>
        <v>0.11105882352941177</v>
      </c>
      <c r="W23" s="79"/>
      <c r="X23" s="5"/>
      <c r="Y23" s="3"/>
      <c r="Z23" s="5"/>
      <c r="AA23" s="123"/>
      <c r="AB23" s="130"/>
    </row>
    <row r="24" spans="1:28" s="1" customFormat="1" ht="234" customHeight="1" x14ac:dyDescent="0.25">
      <c r="A24" s="5"/>
      <c r="B24" s="145" t="s">
        <v>31</v>
      </c>
      <c r="C24" s="147">
        <f>175500095320+4272545382+6727454618+88027000000+72897000000+80495000000</f>
        <v>427919095320</v>
      </c>
      <c r="D24" s="147">
        <f>175500095320+4272545382+6727454618+88027000000+72897000000+80495000000</f>
        <v>427919095320</v>
      </c>
      <c r="E24" s="5"/>
      <c r="F24" s="31" t="s">
        <v>66</v>
      </c>
      <c r="G24" s="82" t="s">
        <v>42</v>
      </c>
      <c r="H24" s="89">
        <v>0</v>
      </c>
      <c r="I24" s="82">
        <v>3500</v>
      </c>
      <c r="J24" s="82">
        <v>5000</v>
      </c>
      <c r="K24" s="82">
        <v>17000</v>
      </c>
      <c r="L24" s="82">
        <v>8500</v>
      </c>
      <c r="M24" s="92">
        <v>34000</v>
      </c>
      <c r="N24" s="191"/>
      <c r="O24" s="82" t="s">
        <v>92</v>
      </c>
      <c r="P24" s="83">
        <v>1</v>
      </c>
      <c r="Q24" s="82" t="s">
        <v>111</v>
      </c>
      <c r="R24" s="79"/>
      <c r="S24" s="114">
        <v>1</v>
      </c>
      <c r="T24" s="67">
        <v>3776</v>
      </c>
      <c r="U24" s="67">
        <v>3776</v>
      </c>
      <c r="V24" s="68">
        <v>0.11105882352941177</v>
      </c>
      <c r="W24" s="67" t="s">
        <v>129</v>
      </c>
      <c r="X24" s="5"/>
      <c r="Y24" s="124"/>
      <c r="Z24" s="5"/>
      <c r="AA24" s="123"/>
      <c r="AB24" s="130"/>
    </row>
    <row r="25" spans="1:28" s="1" customFormat="1" ht="15" customHeight="1" x14ac:dyDescent="0.25">
      <c r="A25" s="5"/>
      <c r="B25" s="145"/>
      <c r="C25" s="147"/>
      <c r="D25" s="147"/>
      <c r="E25" s="5"/>
      <c r="F25" s="3"/>
      <c r="G25" s="3"/>
      <c r="H25" s="3"/>
      <c r="I25" s="3">
        <v>680</v>
      </c>
      <c r="J25" s="3">
        <v>600</v>
      </c>
      <c r="K25" s="3">
        <v>580</v>
      </c>
      <c r="L25" s="3">
        <v>580</v>
      </c>
      <c r="M25" s="3">
        <v>2440</v>
      </c>
      <c r="N25" s="191"/>
      <c r="O25" s="3"/>
      <c r="P25" s="120">
        <f>635/680</f>
        <v>0.93382352941176472</v>
      </c>
      <c r="Q25" s="3"/>
      <c r="R25" s="79"/>
      <c r="S25" s="120">
        <f>641/680</f>
        <v>0.94264705882352939</v>
      </c>
      <c r="T25" s="120"/>
      <c r="U25" s="120"/>
      <c r="V25" s="120">
        <f>641/2440</f>
        <v>0.26270491803278689</v>
      </c>
      <c r="W25" s="79"/>
      <c r="X25" s="5"/>
      <c r="Y25" s="3"/>
      <c r="Z25" s="5"/>
      <c r="AA25" s="123"/>
      <c r="AB25" s="130"/>
    </row>
    <row r="26" spans="1:28" s="1" customFormat="1" ht="306.95" customHeight="1" x14ac:dyDescent="0.25">
      <c r="A26" s="5"/>
      <c r="B26" s="145"/>
      <c r="C26" s="147"/>
      <c r="D26" s="147"/>
      <c r="E26" s="5"/>
      <c r="F26" s="31" t="s">
        <v>66</v>
      </c>
      <c r="G26" s="93" t="s">
        <v>43</v>
      </c>
      <c r="H26" s="89">
        <v>1160</v>
      </c>
      <c r="I26" s="82">
        <v>680</v>
      </c>
      <c r="J26" s="82">
        <v>600</v>
      </c>
      <c r="K26" s="82">
        <v>580</v>
      </c>
      <c r="L26" s="82">
        <v>580</v>
      </c>
      <c r="M26" s="82">
        <f>+I26+J26+K26+L26</f>
        <v>2440</v>
      </c>
      <c r="N26" s="191"/>
      <c r="O26" s="94" t="s">
        <v>142</v>
      </c>
      <c r="P26" s="94" t="s">
        <v>141</v>
      </c>
      <c r="Q26" s="82" t="s">
        <v>112</v>
      </c>
      <c r="R26" s="79"/>
      <c r="S26" s="60">
        <v>0.94264705882352939</v>
      </c>
      <c r="T26" s="61">
        <v>641</v>
      </c>
      <c r="U26" s="67">
        <v>641</v>
      </c>
      <c r="V26" s="68">
        <v>0.26270491803278689</v>
      </c>
      <c r="W26" s="67" t="s">
        <v>130</v>
      </c>
      <c r="X26" s="5"/>
      <c r="Y26" s="122" t="s">
        <v>157</v>
      </c>
      <c r="Z26" s="5"/>
      <c r="AA26" s="123"/>
      <c r="AB26" s="130"/>
    </row>
    <row r="27" spans="1:28" s="1" customFormat="1" ht="15" customHeight="1" x14ac:dyDescent="0.25">
      <c r="A27" s="5"/>
      <c r="B27" s="145"/>
      <c r="C27" s="147"/>
      <c r="D27" s="147"/>
      <c r="E27" s="5"/>
      <c r="F27" s="3"/>
      <c r="G27" s="3"/>
      <c r="H27" s="3"/>
      <c r="I27" s="3">
        <v>930</v>
      </c>
      <c r="J27" s="3">
        <v>920</v>
      </c>
      <c r="K27" s="3">
        <v>920</v>
      </c>
      <c r="L27" s="3">
        <v>920</v>
      </c>
      <c r="M27" s="3">
        <v>3690</v>
      </c>
      <c r="N27" s="191"/>
      <c r="O27" s="3"/>
      <c r="P27" s="71">
        <f>953/930</f>
        <v>1.0247311827956989</v>
      </c>
      <c r="Q27" s="3"/>
      <c r="R27" s="79"/>
      <c r="S27" s="120">
        <f>953/930</f>
        <v>1.0247311827956989</v>
      </c>
      <c r="T27" s="120"/>
      <c r="U27" s="120"/>
      <c r="V27" s="120">
        <f>693/3690</f>
        <v>0.18780487804878049</v>
      </c>
      <c r="W27" s="79"/>
      <c r="X27" s="5"/>
      <c r="Y27" s="3"/>
      <c r="Z27" s="5"/>
      <c r="AA27" s="123"/>
      <c r="AB27" s="130"/>
    </row>
    <row r="28" spans="1:28" s="1" customFormat="1" ht="51.75" customHeight="1" x14ac:dyDescent="0.25">
      <c r="A28" s="5"/>
      <c r="B28" s="145"/>
      <c r="C28" s="147"/>
      <c r="D28" s="147"/>
      <c r="E28" s="5"/>
      <c r="F28" s="31" t="s">
        <v>67</v>
      </c>
      <c r="G28" s="204" t="s">
        <v>44</v>
      </c>
      <c r="H28" s="202">
        <v>3492</v>
      </c>
      <c r="I28" s="82">
        <v>920</v>
      </c>
      <c r="J28" s="204">
        <v>920</v>
      </c>
      <c r="K28" s="157">
        <v>920</v>
      </c>
      <c r="L28" s="157">
        <v>920</v>
      </c>
      <c r="M28" s="92">
        <v>3680</v>
      </c>
      <c r="N28" s="191"/>
      <c r="O28" s="144" t="s">
        <v>93</v>
      </c>
      <c r="P28" s="197" t="s">
        <v>88</v>
      </c>
      <c r="Q28" s="222" t="s">
        <v>113</v>
      </c>
      <c r="R28" s="79"/>
      <c r="S28" s="215">
        <v>1</v>
      </c>
      <c r="T28" s="188">
        <v>953</v>
      </c>
      <c r="U28" s="217">
        <v>693</v>
      </c>
      <c r="V28" s="206">
        <v>0.18780487804878049</v>
      </c>
      <c r="W28" s="224" t="s">
        <v>129</v>
      </c>
      <c r="X28" s="5"/>
      <c r="Y28" s="226" t="s">
        <v>158</v>
      </c>
      <c r="Z28" s="5"/>
      <c r="AA28" s="123"/>
      <c r="AB28" s="130"/>
    </row>
    <row r="29" spans="1:28" s="1" customFormat="1" ht="78.75" customHeight="1" x14ac:dyDescent="0.25">
      <c r="A29" s="5"/>
      <c r="B29" s="145"/>
      <c r="C29" s="147"/>
      <c r="D29" s="147"/>
      <c r="E29" s="5"/>
      <c r="F29" s="45" t="s">
        <v>68</v>
      </c>
      <c r="G29" s="205"/>
      <c r="H29" s="203"/>
      <c r="I29" s="86">
        <v>930</v>
      </c>
      <c r="J29" s="205"/>
      <c r="K29" s="158"/>
      <c r="L29" s="158"/>
      <c r="M29" s="95">
        <v>3690</v>
      </c>
      <c r="N29" s="191"/>
      <c r="O29" s="144"/>
      <c r="P29" s="198"/>
      <c r="Q29" s="223"/>
      <c r="R29" s="79"/>
      <c r="S29" s="216"/>
      <c r="T29" s="189"/>
      <c r="U29" s="218"/>
      <c r="V29" s="206"/>
      <c r="W29" s="224"/>
      <c r="X29" s="5"/>
      <c r="Y29" s="226"/>
      <c r="Z29" s="5"/>
      <c r="AA29" s="123"/>
      <c r="AB29" s="130"/>
    </row>
    <row r="30" spans="1:28" s="1" customFormat="1" ht="15" customHeight="1" x14ac:dyDescent="0.25">
      <c r="A30" s="5"/>
      <c r="B30" s="145"/>
      <c r="C30" s="147"/>
      <c r="D30" s="147"/>
      <c r="E30" s="5"/>
      <c r="F30" s="3"/>
      <c r="G30" s="3"/>
      <c r="H30" s="3"/>
      <c r="I30" s="3">
        <v>200</v>
      </c>
      <c r="J30" s="3">
        <v>200</v>
      </c>
      <c r="K30" s="3">
        <v>200</v>
      </c>
      <c r="L30" s="3">
        <v>200</v>
      </c>
      <c r="M30" s="3">
        <v>800</v>
      </c>
      <c r="N30" s="191"/>
      <c r="O30" s="3"/>
      <c r="P30" s="120">
        <f>201/200</f>
        <v>1.0049999999999999</v>
      </c>
      <c r="Q30" s="3"/>
      <c r="R30" s="79"/>
      <c r="S30" s="120">
        <f>201/200</f>
        <v>1.0049999999999999</v>
      </c>
      <c r="T30" s="120"/>
      <c r="U30" s="120"/>
      <c r="V30" s="120">
        <f>201/800</f>
        <v>0.25124999999999997</v>
      </c>
      <c r="W30" s="79"/>
      <c r="X30" s="5"/>
      <c r="Y30" s="3"/>
      <c r="Z30" s="5"/>
      <c r="AA30" s="123"/>
      <c r="AB30" s="130"/>
    </row>
    <row r="31" spans="1:28" s="1" customFormat="1" ht="66" x14ac:dyDescent="0.25">
      <c r="A31" s="5"/>
      <c r="B31" s="145"/>
      <c r="C31" s="147"/>
      <c r="D31" s="147"/>
      <c r="E31" s="5"/>
      <c r="F31" s="31" t="s">
        <v>66</v>
      </c>
      <c r="G31" s="82" t="s">
        <v>45</v>
      </c>
      <c r="H31" s="89">
        <f>148+179</f>
        <v>327</v>
      </c>
      <c r="I31" s="96">
        <v>200</v>
      </c>
      <c r="J31" s="96">
        <v>200</v>
      </c>
      <c r="K31" s="96">
        <v>200</v>
      </c>
      <c r="L31" s="96">
        <v>200</v>
      </c>
      <c r="M31" s="96">
        <v>800</v>
      </c>
      <c r="N31" s="192"/>
      <c r="O31" s="96" t="s">
        <v>94</v>
      </c>
      <c r="P31" s="114" t="s">
        <v>88</v>
      </c>
      <c r="Q31" s="96" t="s">
        <v>114</v>
      </c>
      <c r="R31" s="79"/>
      <c r="S31" s="114" t="s">
        <v>88</v>
      </c>
      <c r="T31" s="69">
        <v>201</v>
      </c>
      <c r="U31" s="69">
        <v>201</v>
      </c>
      <c r="V31" s="54">
        <v>0.25124999999999997</v>
      </c>
      <c r="W31" s="69" t="s">
        <v>129</v>
      </c>
      <c r="X31" s="5"/>
      <c r="Y31" s="124"/>
      <c r="Z31" s="5"/>
      <c r="AA31" s="123"/>
      <c r="AB31" s="130"/>
    </row>
    <row r="32" spans="1:28" ht="19.5" customHeight="1" x14ac:dyDescent="0.25">
      <c r="A32" s="4"/>
      <c r="B32" s="3"/>
      <c r="C32" s="6"/>
      <c r="D32" s="4"/>
      <c r="E32" s="4"/>
      <c r="F32" s="3"/>
      <c r="G32" s="3"/>
      <c r="H32" s="3"/>
      <c r="I32" s="3">
        <v>600</v>
      </c>
      <c r="J32" s="3">
        <v>1500</v>
      </c>
      <c r="K32" s="3">
        <v>1500</v>
      </c>
      <c r="L32" s="3">
        <v>600</v>
      </c>
      <c r="M32" s="3">
        <v>4200</v>
      </c>
      <c r="N32" s="3"/>
      <c r="O32" s="3"/>
      <c r="P32" s="120">
        <f>600/600</f>
        <v>1</v>
      </c>
      <c r="Q32" s="3"/>
      <c r="R32" s="4"/>
      <c r="S32" s="120">
        <f>600/600</f>
        <v>1</v>
      </c>
      <c r="T32" s="120"/>
      <c r="U32" s="120"/>
      <c r="V32" s="120">
        <f>600/4200</f>
        <v>0.14285714285714285</v>
      </c>
      <c r="W32" s="79"/>
      <c r="X32" s="4"/>
      <c r="Y32" s="3"/>
      <c r="Z32" s="4"/>
      <c r="AA32" s="123"/>
    </row>
    <row r="33" spans="1:28" s="1" customFormat="1" ht="303.75" customHeight="1" x14ac:dyDescent="0.25">
      <c r="A33" s="5"/>
      <c r="B33" s="138" t="s">
        <v>32</v>
      </c>
      <c r="C33" s="147">
        <v>15500000000</v>
      </c>
      <c r="D33" s="147">
        <v>15500000000</v>
      </c>
      <c r="E33" s="5"/>
      <c r="F33" s="31" t="s">
        <v>66</v>
      </c>
      <c r="G33" s="82" t="s">
        <v>46</v>
      </c>
      <c r="H33" s="89">
        <v>4000</v>
      </c>
      <c r="I33" s="96">
        <v>600</v>
      </c>
      <c r="J33" s="96">
        <v>1500</v>
      </c>
      <c r="K33" s="96">
        <v>1500</v>
      </c>
      <c r="L33" s="96">
        <v>600</v>
      </c>
      <c r="M33" s="92">
        <f>+I33+J33+K33+L33</f>
        <v>4200</v>
      </c>
      <c r="N33" s="153" t="s">
        <v>5</v>
      </c>
      <c r="O33" s="96" t="s">
        <v>95</v>
      </c>
      <c r="P33" s="96" t="s">
        <v>88</v>
      </c>
      <c r="Q33" s="96" t="s">
        <v>115</v>
      </c>
      <c r="R33" s="79"/>
      <c r="S33" s="54">
        <v>1</v>
      </c>
      <c r="T33" s="69">
        <v>600</v>
      </c>
      <c r="U33" s="69">
        <v>600</v>
      </c>
      <c r="V33" s="54">
        <v>0.14285714285714285</v>
      </c>
      <c r="W33" s="69" t="s">
        <v>5</v>
      </c>
      <c r="X33" s="5"/>
      <c r="Y33" s="33"/>
      <c r="Z33" s="5"/>
      <c r="AA33" s="123"/>
      <c r="AB33" s="130"/>
    </row>
    <row r="34" spans="1:28" s="1" customFormat="1" ht="15" customHeight="1" x14ac:dyDescent="0.25">
      <c r="A34" s="5"/>
      <c r="B34" s="138"/>
      <c r="C34" s="147"/>
      <c r="D34" s="147"/>
      <c r="E34" s="5"/>
      <c r="F34" s="3"/>
      <c r="G34" s="3"/>
      <c r="H34" s="3"/>
      <c r="I34" s="3">
        <v>479</v>
      </c>
      <c r="J34" s="3">
        <v>410</v>
      </c>
      <c r="K34" s="3">
        <v>410</v>
      </c>
      <c r="L34" s="3">
        <v>410</v>
      </c>
      <c r="M34" s="3">
        <v>1709</v>
      </c>
      <c r="N34" s="153"/>
      <c r="O34" s="3"/>
      <c r="P34" s="120">
        <f>487/479</f>
        <v>1.0167014613778707</v>
      </c>
      <c r="Q34" s="3"/>
      <c r="R34" s="79"/>
      <c r="S34" s="120">
        <f>479/479</f>
        <v>1</v>
      </c>
      <c r="T34" s="120"/>
      <c r="U34" s="120"/>
      <c r="V34" s="120">
        <f>479/1709</f>
        <v>0.28028086600351082</v>
      </c>
      <c r="W34" s="79"/>
      <c r="X34" s="5"/>
      <c r="Y34" s="3"/>
      <c r="Z34" s="5"/>
      <c r="AA34" s="123"/>
      <c r="AB34" s="130"/>
    </row>
    <row r="35" spans="1:28" s="1" customFormat="1" ht="34.5" customHeight="1" x14ac:dyDescent="0.25">
      <c r="A35" s="5"/>
      <c r="B35" s="138"/>
      <c r="C35" s="147"/>
      <c r="D35" s="147"/>
      <c r="E35" s="5"/>
      <c r="F35" s="31" t="s">
        <v>67</v>
      </c>
      <c r="G35" s="142" t="s">
        <v>47</v>
      </c>
      <c r="H35" s="143">
        <v>5390</v>
      </c>
      <c r="I35" s="96">
        <v>475</v>
      </c>
      <c r="J35" s="144">
        <v>410</v>
      </c>
      <c r="K35" s="144">
        <v>410</v>
      </c>
      <c r="L35" s="144">
        <v>410</v>
      </c>
      <c r="M35" s="92">
        <v>1705</v>
      </c>
      <c r="N35" s="153"/>
      <c r="O35" s="210" t="s">
        <v>96</v>
      </c>
      <c r="P35" s="199" t="s">
        <v>143</v>
      </c>
      <c r="Q35" s="199" t="s">
        <v>116</v>
      </c>
      <c r="R35" s="79"/>
      <c r="S35" s="207">
        <v>1</v>
      </c>
      <c r="T35" s="211">
        <v>479</v>
      </c>
      <c r="U35" s="224">
        <v>479</v>
      </c>
      <c r="V35" s="206">
        <v>0.28028086600351082</v>
      </c>
      <c r="W35" s="231" t="s">
        <v>5</v>
      </c>
      <c r="X35" s="5"/>
      <c r="Y35" s="227" t="s">
        <v>146</v>
      </c>
      <c r="Z35" s="5"/>
      <c r="AA35" s="123"/>
      <c r="AB35" s="130"/>
    </row>
    <row r="36" spans="1:28" s="1" customFormat="1" ht="108.95" customHeight="1" x14ac:dyDescent="0.25">
      <c r="A36" s="5"/>
      <c r="B36" s="138"/>
      <c r="C36" s="147"/>
      <c r="D36" s="147"/>
      <c r="E36" s="5"/>
      <c r="F36" s="45" t="s">
        <v>68</v>
      </c>
      <c r="G36" s="142"/>
      <c r="H36" s="143"/>
      <c r="I36" s="97">
        <v>479</v>
      </c>
      <c r="J36" s="144"/>
      <c r="K36" s="144"/>
      <c r="L36" s="144"/>
      <c r="M36" s="98">
        <v>1709</v>
      </c>
      <c r="N36" s="153"/>
      <c r="O36" s="210"/>
      <c r="P36" s="199"/>
      <c r="Q36" s="199"/>
      <c r="R36" s="79"/>
      <c r="S36" s="208"/>
      <c r="T36" s="212"/>
      <c r="U36" s="224"/>
      <c r="V36" s="206"/>
      <c r="W36" s="231"/>
      <c r="X36" s="5"/>
      <c r="Y36" s="228"/>
      <c r="Z36" s="5"/>
      <c r="AA36" s="123"/>
      <c r="AB36" s="130"/>
    </row>
    <row r="37" spans="1:28" s="1" customFormat="1" ht="15" customHeight="1" x14ac:dyDescent="0.25">
      <c r="A37" s="5"/>
      <c r="B37" s="138"/>
      <c r="C37" s="147"/>
      <c r="D37" s="147"/>
      <c r="E37" s="5"/>
      <c r="F37" s="3"/>
      <c r="G37" s="3"/>
      <c r="H37" s="3"/>
      <c r="I37" s="3">
        <v>500</v>
      </c>
      <c r="J37" s="3">
        <v>520</v>
      </c>
      <c r="K37" s="3">
        <v>530</v>
      </c>
      <c r="L37" s="3">
        <v>550</v>
      </c>
      <c r="M37" s="3">
        <v>2100</v>
      </c>
      <c r="N37" s="195"/>
      <c r="O37" s="3"/>
      <c r="P37" s="120">
        <f>315/500</f>
        <v>0.63</v>
      </c>
      <c r="Q37" s="3"/>
      <c r="R37" s="79"/>
      <c r="S37" s="120">
        <f>375/500</f>
        <v>0.75</v>
      </c>
      <c r="T37" s="120"/>
      <c r="U37" s="120"/>
      <c r="V37" s="120">
        <f>375/2100</f>
        <v>0.17857142857142858</v>
      </c>
      <c r="W37" s="79"/>
      <c r="X37" s="5"/>
      <c r="Y37" s="3"/>
      <c r="Z37" s="5"/>
      <c r="AA37" s="123"/>
      <c r="AB37" s="130"/>
    </row>
    <row r="38" spans="1:28" s="1" customFormat="1" ht="378.95" customHeight="1" x14ac:dyDescent="0.25">
      <c r="A38" s="5"/>
      <c r="B38" s="138"/>
      <c r="C38" s="147"/>
      <c r="D38" s="147"/>
      <c r="E38" s="5"/>
      <c r="F38" s="31" t="s">
        <v>66</v>
      </c>
      <c r="G38" s="82" t="s">
        <v>48</v>
      </c>
      <c r="H38" s="89">
        <v>1720</v>
      </c>
      <c r="I38" s="96">
        <v>500</v>
      </c>
      <c r="J38" s="96">
        <v>520</v>
      </c>
      <c r="K38" s="96">
        <v>530</v>
      </c>
      <c r="L38" s="96">
        <v>550</v>
      </c>
      <c r="M38" s="92">
        <f>+SUM(I38:L38)</f>
        <v>2100</v>
      </c>
      <c r="N38" s="195"/>
      <c r="O38" s="99" t="s">
        <v>97</v>
      </c>
      <c r="P38" s="116" t="s">
        <v>88</v>
      </c>
      <c r="Q38" s="96" t="s">
        <v>117</v>
      </c>
      <c r="R38" s="79"/>
      <c r="S38" s="68">
        <v>0.75</v>
      </c>
      <c r="T38" s="61">
        <v>375</v>
      </c>
      <c r="U38" s="67">
        <v>375</v>
      </c>
      <c r="V38" s="68">
        <v>0.17857142857142858</v>
      </c>
      <c r="W38" s="69" t="s">
        <v>5</v>
      </c>
      <c r="X38" s="5"/>
      <c r="Y38" s="121" t="s">
        <v>152</v>
      </c>
      <c r="Z38" s="5"/>
      <c r="AA38" s="123"/>
      <c r="AB38" s="130"/>
    </row>
    <row r="39" spans="1:28" s="1" customFormat="1" ht="15" customHeight="1" x14ac:dyDescent="0.25">
      <c r="A39" s="5"/>
      <c r="B39" s="138"/>
      <c r="C39" s="147"/>
      <c r="D39" s="147"/>
      <c r="E39" s="5"/>
      <c r="F39" s="3"/>
      <c r="G39" s="3"/>
      <c r="H39" s="3"/>
      <c r="I39" s="3">
        <v>11</v>
      </c>
      <c r="J39" s="3">
        <v>14</v>
      </c>
      <c r="K39" s="3">
        <v>16</v>
      </c>
      <c r="L39" s="3">
        <v>18</v>
      </c>
      <c r="M39" s="3">
        <v>59</v>
      </c>
      <c r="N39" s="195"/>
      <c r="O39" s="3"/>
      <c r="P39" s="120">
        <f>18/11</f>
        <v>1.6363636363636365</v>
      </c>
      <c r="Q39" s="3"/>
      <c r="R39" s="79"/>
      <c r="S39" s="120">
        <f>18/11</f>
        <v>1.6363636363636365</v>
      </c>
      <c r="T39" s="120"/>
      <c r="U39" s="120"/>
      <c r="V39" s="120">
        <f>18/59</f>
        <v>0.30508474576271188</v>
      </c>
      <c r="W39" s="79"/>
      <c r="X39" s="5"/>
      <c r="Y39" s="3"/>
      <c r="Z39" s="5"/>
      <c r="AA39" s="123"/>
      <c r="AB39" s="130"/>
    </row>
    <row r="40" spans="1:28" s="1" customFormat="1" ht="115.5" x14ac:dyDescent="0.25">
      <c r="A40" s="5"/>
      <c r="B40" s="138"/>
      <c r="C40" s="147"/>
      <c r="D40" s="147"/>
      <c r="E40" s="5"/>
      <c r="F40" s="31" t="s">
        <v>66</v>
      </c>
      <c r="G40" s="82" t="s">
        <v>49</v>
      </c>
      <c r="H40" s="89">
        <v>25</v>
      </c>
      <c r="I40" s="96">
        <v>11</v>
      </c>
      <c r="J40" s="96">
        <v>14</v>
      </c>
      <c r="K40" s="96">
        <v>16</v>
      </c>
      <c r="L40" s="96">
        <v>18</v>
      </c>
      <c r="M40" s="92">
        <f>+SUM(I40:L40)</f>
        <v>59</v>
      </c>
      <c r="N40" s="195"/>
      <c r="O40" s="96" t="s">
        <v>98</v>
      </c>
      <c r="P40" s="114">
        <v>1</v>
      </c>
      <c r="Q40" s="100" t="s">
        <v>118</v>
      </c>
      <c r="R40" s="79"/>
      <c r="S40" s="114">
        <v>1</v>
      </c>
      <c r="T40" s="67">
        <v>18</v>
      </c>
      <c r="U40" s="67">
        <v>18</v>
      </c>
      <c r="V40" s="68">
        <v>0.30508474576271188</v>
      </c>
      <c r="W40" s="69" t="s">
        <v>5</v>
      </c>
      <c r="X40" s="5"/>
      <c r="Y40" s="33"/>
      <c r="Z40" s="5"/>
      <c r="AA40" s="123"/>
      <c r="AB40" s="130"/>
    </row>
    <row r="41" spans="1:28" s="1" customFormat="1" ht="15" x14ac:dyDescent="0.25">
      <c r="A41" s="5"/>
      <c r="B41" s="3"/>
      <c r="C41" s="3"/>
      <c r="D41" s="3"/>
      <c r="E41" s="3"/>
      <c r="F41" s="3"/>
      <c r="G41" s="3"/>
      <c r="H41" s="3"/>
      <c r="I41" s="3">
        <v>11</v>
      </c>
      <c r="J41" s="3">
        <v>30</v>
      </c>
      <c r="K41" s="3">
        <v>35</v>
      </c>
      <c r="L41" s="3">
        <v>35</v>
      </c>
      <c r="M41" s="3">
        <v>111</v>
      </c>
      <c r="N41" s="3"/>
      <c r="O41" s="3"/>
      <c r="P41" s="120">
        <f>43/25</f>
        <v>1.72</v>
      </c>
      <c r="Q41" s="3"/>
      <c r="R41" s="79"/>
      <c r="S41" s="120">
        <f>43/25</f>
        <v>1.72</v>
      </c>
      <c r="T41" s="120"/>
      <c r="U41" s="120"/>
      <c r="V41" s="120">
        <f>43/111</f>
        <v>0.38738738738738737</v>
      </c>
      <c r="W41" s="79"/>
      <c r="X41" s="5"/>
      <c r="Y41" s="3"/>
      <c r="Z41" s="5"/>
      <c r="AA41" s="123"/>
      <c r="AB41" s="130"/>
    </row>
    <row r="42" spans="1:28" s="1" customFormat="1" ht="15.95" customHeight="1" x14ac:dyDescent="0.25">
      <c r="A42" s="5"/>
      <c r="B42" s="156" t="s">
        <v>33</v>
      </c>
      <c r="C42" s="139">
        <v>5000000000</v>
      </c>
      <c r="D42" s="139">
        <v>5000000000</v>
      </c>
      <c r="E42" s="5"/>
      <c r="F42" s="31" t="s">
        <v>67</v>
      </c>
      <c r="G42" s="201" t="s">
        <v>50</v>
      </c>
      <c r="H42" s="202" t="s">
        <v>57</v>
      </c>
      <c r="I42" s="82">
        <v>4000</v>
      </c>
      <c r="J42" s="204">
        <v>30</v>
      </c>
      <c r="K42" s="81">
        <v>30</v>
      </c>
      <c r="L42" s="81">
        <v>30</v>
      </c>
      <c r="M42" s="92">
        <v>4090</v>
      </c>
      <c r="N42" s="193" t="s">
        <v>62</v>
      </c>
      <c r="O42" s="142" t="s">
        <v>99</v>
      </c>
      <c r="P42" s="200">
        <v>1</v>
      </c>
      <c r="Q42" s="142" t="s">
        <v>119</v>
      </c>
      <c r="R42" s="79"/>
      <c r="S42" s="215">
        <v>1</v>
      </c>
      <c r="T42" s="188">
        <v>43</v>
      </c>
      <c r="U42" s="224">
        <v>43</v>
      </c>
      <c r="V42" s="206">
        <v>0.38738738738738737</v>
      </c>
      <c r="W42" s="224" t="s">
        <v>130</v>
      </c>
      <c r="X42" s="5"/>
      <c r="Y42" s="229" t="s">
        <v>153</v>
      </c>
      <c r="Z42" s="5"/>
      <c r="AA42" s="123"/>
      <c r="AB42" s="130"/>
    </row>
    <row r="43" spans="1:28" s="1" customFormat="1" ht="186.75" customHeight="1" x14ac:dyDescent="0.25">
      <c r="A43" s="5"/>
      <c r="B43" s="156"/>
      <c r="C43" s="139"/>
      <c r="D43" s="139"/>
      <c r="E43" s="5"/>
      <c r="F43" s="45" t="s">
        <v>68</v>
      </c>
      <c r="G43" s="201"/>
      <c r="H43" s="203"/>
      <c r="I43" s="101">
        <v>25</v>
      </c>
      <c r="J43" s="205"/>
      <c r="K43" s="86">
        <v>35</v>
      </c>
      <c r="L43" s="86">
        <v>35</v>
      </c>
      <c r="M43" s="102">
        <v>125</v>
      </c>
      <c r="N43" s="194"/>
      <c r="O43" s="142"/>
      <c r="P43" s="142"/>
      <c r="Q43" s="142"/>
      <c r="R43" s="79"/>
      <c r="S43" s="216"/>
      <c r="T43" s="189"/>
      <c r="U43" s="224"/>
      <c r="V43" s="206"/>
      <c r="W43" s="224"/>
      <c r="X43" s="5"/>
      <c r="Y43" s="230"/>
      <c r="Z43" s="5"/>
      <c r="AA43" s="123"/>
      <c r="AB43" s="130"/>
    </row>
    <row r="44" spans="1:28" s="1" customFormat="1" ht="15" customHeight="1" x14ac:dyDescent="0.25">
      <c r="A44" s="5"/>
      <c r="B44" s="156"/>
      <c r="C44" s="139"/>
      <c r="D44" s="139"/>
      <c r="E44" s="5"/>
      <c r="F44" s="3"/>
      <c r="G44" s="3"/>
      <c r="H44" s="3"/>
      <c r="I44" s="3">
        <v>10</v>
      </c>
      <c r="J44" s="3">
        <v>30</v>
      </c>
      <c r="K44" s="3">
        <v>20</v>
      </c>
      <c r="L44" s="3">
        <v>40</v>
      </c>
      <c r="M44" s="3">
        <v>100</v>
      </c>
      <c r="N44" s="194"/>
      <c r="O44" s="3"/>
      <c r="P44" s="120">
        <f>13/10</f>
        <v>1.3</v>
      </c>
      <c r="Q44" s="3"/>
      <c r="R44" s="79"/>
      <c r="S44" s="120">
        <f>13/10</f>
        <v>1.3</v>
      </c>
      <c r="T44" s="120"/>
      <c r="U44" s="120"/>
      <c r="V44" s="120">
        <f>13/100</f>
        <v>0.13</v>
      </c>
      <c r="W44" s="79"/>
      <c r="X44" s="5"/>
      <c r="Y44" s="3"/>
      <c r="Z44" s="5"/>
      <c r="AA44" s="123"/>
      <c r="AB44" s="130"/>
    </row>
    <row r="45" spans="1:28" s="1" customFormat="1" ht="69.95" customHeight="1" x14ac:dyDescent="0.25">
      <c r="A45" s="5"/>
      <c r="B45" s="156"/>
      <c r="C45" s="139"/>
      <c r="D45" s="139"/>
      <c r="E45" s="5"/>
      <c r="F45" s="31" t="s">
        <v>66</v>
      </c>
      <c r="G45" s="76" t="s">
        <v>51</v>
      </c>
      <c r="H45" s="89">
        <v>84</v>
      </c>
      <c r="I45" s="103">
        <v>10</v>
      </c>
      <c r="J45" s="104">
        <v>30</v>
      </c>
      <c r="K45" s="104">
        <v>20</v>
      </c>
      <c r="L45" s="104">
        <v>40</v>
      </c>
      <c r="M45" s="92">
        <v>100</v>
      </c>
      <c r="N45" s="194"/>
      <c r="O45" s="105" t="s">
        <v>100</v>
      </c>
      <c r="P45" s="80">
        <v>1</v>
      </c>
      <c r="Q45" s="105" t="s">
        <v>120</v>
      </c>
      <c r="R45" s="79"/>
      <c r="S45" s="114">
        <v>1</v>
      </c>
      <c r="T45" s="67">
        <v>13</v>
      </c>
      <c r="U45" s="67">
        <v>13</v>
      </c>
      <c r="V45" s="68">
        <v>0.13</v>
      </c>
      <c r="W45" s="67" t="s">
        <v>130</v>
      </c>
      <c r="X45" s="5"/>
      <c r="Y45" s="35"/>
      <c r="Z45" s="5"/>
      <c r="AA45" s="123"/>
      <c r="AB45" s="130"/>
    </row>
    <row r="46" spans="1:28" s="1" customFormat="1" ht="15" x14ac:dyDescent="0.25">
      <c r="A46" s="4"/>
      <c r="B46" s="3"/>
      <c r="C46" s="3"/>
      <c r="D46" s="3"/>
      <c r="E46" s="4"/>
      <c r="F46" s="3"/>
      <c r="G46" s="3"/>
      <c r="H46" s="3"/>
      <c r="I46" s="3">
        <v>10</v>
      </c>
      <c r="J46" s="3">
        <v>20</v>
      </c>
      <c r="K46" s="3">
        <v>30</v>
      </c>
      <c r="L46" s="3">
        <v>66</v>
      </c>
      <c r="M46" s="3">
        <v>126</v>
      </c>
      <c r="N46" s="3"/>
      <c r="O46" s="6"/>
      <c r="P46" s="120">
        <f>16/10</f>
        <v>1.6</v>
      </c>
      <c r="Q46" s="6"/>
      <c r="R46" s="4"/>
      <c r="S46" s="120">
        <f>16/10</f>
        <v>1.6</v>
      </c>
      <c r="T46" s="120"/>
      <c r="U46" s="120"/>
      <c r="V46" s="120">
        <f>16/126</f>
        <v>0.12698412698412698</v>
      </c>
      <c r="W46" s="79"/>
      <c r="X46" s="4"/>
      <c r="Y46" s="6"/>
      <c r="Z46" s="4"/>
      <c r="AA46" s="123"/>
      <c r="AB46" s="130"/>
    </row>
    <row r="47" spans="1:28" s="1" customFormat="1" ht="99" x14ac:dyDescent="0.25">
      <c r="A47" s="5"/>
      <c r="B47" s="146" t="s">
        <v>34</v>
      </c>
      <c r="C47" s="148">
        <v>1000000000</v>
      </c>
      <c r="D47" s="149">
        <v>1000000000</v>
      </c>
      <c r="E47" s="5"/>
      <c r="F47" s="31" t="s">
        <v>66</v>
      </c>
      <c r="G47" s="82" t="s">
        <v>52</v>
      </c>
      <c r="H47" s="106">
        <v>84</v>
      </c>
      <c r="I47" s="107">
        <v>10</v>
      </c>
      <c r="J47" s="107">
        <v>20</v>
      </c>
      <c r="K47" s="107">
        <v>30</v>
      </c>
      <c r="L47" s="106">
        <v>66</v>
      </c>
      <c r="M47" s="108">
        <f>+I47+J47+K47+L47</f>
        <v>126</v>
      </c>
      <c r="N47" s="209" t="s">
        <v>63</v>
      </c>
      <c r="O47" s="106" t="s">
        <v>101</v>
      </c>
      <c r="P47" s="106" t="s">
        <v>88</v>
      </c>
      <c r="Q47" s="106" t="s">
        <v>121</v>
      </c>
      <c r="R47" s="79"/>
      <c r="S47" s="68">
        <v>1</v>
      </c>
      <c r="T47" s="67">
        <v>16</v>
      </c>
      <c r="U47" s="67">
        <v>16</v>
      </c>
      <c r="V47" s="68">
        <v>0.12698412698412698</v>
      </c>
      <c r="W47" s="55" t="s">
        <v>131</v>
      </c>
      <c r="X47" s="5"/>
      <c r="Y47" s="44"/>
      <c r="Z47" s="5"/>
      <c r="AA47" s="123"/>
      <c r="AB47" s="130"/>
    </row>
    <row r="48" spans="1:28" s="1" customFormat="1" ht="15" customHeight="1" x14ac:dyDescent="0.25">
      <c r="A48" s="5"/>
      <c r="B48" s="146"/>
      <c r="C48" s="148"/>
      <c r="D48" s="149"/>
      <c r="E48" s="5"/>
      <c r="F48" s="3"/>
      <c r="G48" s="3"/>
      <c r="H48" s="3"/>
      <c r="I48" s="3">
        <v>4</v>
      </c>
      <c r="J48" s="3">
        <v>7</v>
      </c>
      <c r="K48" s="3">
        <v>7</v>
      </c>
      <c r="L48" s="3">
        <v>7</v>
      </c>
      <c r="M48" s="3">
        <v>25</v>
      </c>
      <c r="N48" s="209"/>
      <c r="O48" s="3"/>
      <c r="P48" s="120">
        <f>1/4</f>
        <v>0.25</v>
      </c>
      <c r="Q48" s="3"/>
      <c r="R48" s="79"/>
      <c r="S48" s="120">
        <f>1/4</f>
        <v>0.25</v>
      </c>
      <c r="T48" s="120"/>
      <c r="U48" s="120"/>
      <c r="V48" s="120">
        <f>1/24</f>
        <v>4.1666666666666664E-2</v>
      </c>
      <c r="W48" s="79"/>
      <c r="X48" s="5"/>
      <c r="Y48" s="3"/>
      <c r="Z48" s="5"/>
      <c r="AA48" s="123"/>
      <c r="AB48" s="130"/>
    </row>
    <row r="49" spans="1:28" s="1" customFormat="1" ht="15.95" customHeight="1" x14ac:dyDescent="0.25">
      <c r="A49" s="5"/>
      <c r="B49" s="146"/>
      <c r="C49" s="148"/>
      <c r="D49" s="149"/>
      <c r="E49" s="5"/>
      <c r="F49" s="31" t="s">
        <v>67</v>
      </c>
      <c r="G49" s="142" t="s">
        <v>53</v>
      </c>
      <c r="H49" s="154">
        <v>20</v>
      </c>
      <c r="I49" s="109">
        <v>9</v>
      </c>
      <c r="J49" s="109">
        <v>5</v>
      </c>
      <c r="K49" s="109">
        <v>5</v>
      </c>
      <c r="L49" s="109">
        <v>6</v>
      </c>
      <c r="M49" s="155">
        <f>+SUM(I49:L49)</f>
        <v>25</v>
      </c>
      <c r="N49" s="209"/>
      <c r="O49" s="154" t="s">
        <v>102</v>
      </c>
      <c r="P49" s="187" t="s">
        <v>103</v>
      </c>
      <c r="Q49" s="154" t="s">
        <v>122</v>
      </c>
      <c r="R49" s="79"/>
      <c r="S49" s="207">
        <v>0.25</v>
      </c>
      <c r="T49" s="188">
        <v>1</v>
      </c>
      <c r="U49" s="224">
        <v>1</v>
      </c>
      <c r="V49" s="206">
        <v>0.04</v>
      </c>
      <c r="W49" s="231" t="s">
        <v>131</v>
      </c>
      <c r="X49" s="5"/>
      <c r="Y49" s="187" t="s">
        <v>154</v>
      </c>
      <c r="Z49" s="5"/>
      <c r="AA49" s="123"/>
      <c r="AB49" s="130"/>
    </row>
    <row r="50" spans="1:28" s="1" customFormat="1" ht="162" customHeight="1" x14ac:dyDescent="0.25">
      <c r="A50" s="5"/>
      <c r="B50" s="146"/>
      <c r="C50" s="148"/>
      <c r="D50" s="149"/>
      <c r="E50" s="5"/>
      <c r="F50" s="45" t="s">
        <v>68</v>
      </c>
      <c r="G50" s="142"/>
      <c r="H50" s="154"/>
      <c r="I50" s="115">
        <v>4</v>
      </c>
      <c r="J50" s="115">
        <v>7</v>
      </c>
      <c r="K50" s="115">
        <v>7</v>
      </c>
      <c r="L50" s="115">
        <v>7</v>
      </c>
      <c r="M50" s="155"/>
      <c r="N50" s="209"/>
      <c r="O50" s="154"/>
      <c r="P50" s="187"/>
      <c r="Q50" s="154"/>
      <c r="R50" s="79"/>
      <c r="S50" s="208"/>
      <c r="T50" s="189"/>
      <c r="U50" s="224"/>
      <c r="V50" s="206"/>
      <c r="W50" s="231"/>
      <c r="X50" s="5"/>
      <c r="Y50" s="154"/>
      <c r="Z50" s="5"/>
      <c r="AA50" s="123"/>
      <c r="AB50" s="130"/>
    </row>
    <row r="51" spans="1:28" ht="15" x14ac:dyDescent="0.25">
      <c r="A51" s="4"/>
      <c r="B51" s="3"/>
      <c r="C51" s="6"/>
      <c r="D51" s="4"/>
      <c r="E51" s="4"/>
      <c r="F51" s="3"/>
      <c r="G51" s="3"/>
      <c r="H51" s="3"/>
      <c r="I51" s="57">
        <v>1</v>
      </c>
      <c r="J51" s="57">
        <v>1</v>
      </c>
      <c r="K51" s="57">
        <v>1</v>
      </c>
      <c r="L51" s="57">
        <v>1</v>
      </c>
      <c r="M51" s="57">
        <v>1</v>
      </c>
      <c r="N51" s="3"/>
      <c r="O51" s="6"/>
      <c r="P51" s="120">
        <f>96.57/100</f>
        <v>0.96569999999999989</v>
      </c>
      <c r="Q51" s="6"/>
      <c r="R51" s="4"/>
      <c r="S51" s="120">
        <f>96.57/100</f>
        <v>0.96569999999999989</v>
      </c>
      <c r="T51" s="120"/>
      <c r="U51" s="120"/>
      <c r="V51" s="120">
        <f>96.57/100</f>
        <v>0.96569999999999989</v>
      </c>
      <c r="W51" s="79"/>
      <c r="X51" s="4"/>
      <c r="Y51" s="6"/>
      <c r="Z51" s="4"/>
      <c r="AA51" s="123"/>
    </row>
    <row r="52" spans="1:28" s="1" customFormat="1" ht="198" customHeight="1" x14ac:dyDescent="0.25">
      <c r="A52" s="5"/>
      <c r="B52" s="30" t="s">
        <v>35</v>
      </c>
      <c r="C52" s="48">
        <f>4663000000+9300000000+600000000</f>
        <v>14563000000</v>
      </c>
      <c r="D52" s="43">
        <f>4663000000+9300000000+600000000</f>
        <v>14563000000</v>
      </c>
      <c r="E52" s="5"/>
      <c r="F52" s="33" t="s">
        <v>66</v>
      </c>
      <c r="G52" s="82" t="s">
        <v>54</v>
      </c>
      <c r="H52" s="83">
        <v>1</v>
      </c>
      <c r="I52" s="83">
        <v>1</v>
      </c>
      <c r="J52" s="83">
        <v>1</v>
      </c>
      <c r="K52" s="83">
        <v>1</v>
      </c>
      <c r="L52" s="83">
        <v>1</v>
      </c>
      <c r="M52" s="83">
        <v>1</v>
      </c>
      <c r="N52" s="110" t="s">
        <v>70</v>
      </c>
      <c r="O52" s="81" t="s">
        <v>104</v>
      </c>
      <c r="P52" s="125" t="s">
        <v>104</v>
      </c>
      <c r="Q52" s="81" t="s">
        <v>123</v>
      </c>
      <c r="R52" s="79"/>
      <c r="S52" s="56">
        <v>0.9657</v>
      </c>
      <c r="T52" s="56">
        <v>0.9657</v>
      </c>
      <c r="U52" s="56">
        <v>0.9657</v>
      </c>
      <c r="V52" s="56">
        <v>0.9657</v>
      </c>
      <c r="W52" s="69" t="s">
        <v>132</v>
      </c>
      <c r="X52" s="5"/>
      <c r="Y52" s="129" t="s">
        <v>151</v>
      </c>
      <c r="Z52" s="5"/>
      <c r="AA52" s="123"/>
      <c r="AB52" s="130"/>
    </row>
    <row r="53" spans="1:28" s="1" customFormat="1" ht="19.5" customHeight="1" x14ac:dyDescent="0.25">
      <c r="A53" s="4"/>
      <c r="B53" s="3"/>
      <c r="C53" s="6"/>
      <c r="D53" s="4"/>
      <c r="E53" s="5"/>
      <c r="F53" s="3"/>
      <c r="G53" s="3"/>
      <c r="H53" s="3"/>
      <c r="I53" s="3"/>
      <c r="J53" s="3"/>
      <c r="K53" s="3"/>
      <c r="L53" s="3"/>
      <c r="M53" s="3"/>
      <c r="N53" s="3"/>
      <c r="O53" s="3"/>
      <c r="P53" s="3"/>
      <c r="Q53" s="3"/>
      <c r="R53" s="5"/>
      <c r="S53" s="5"/>
      <c r="T53" s="5"/>
      <c r="U53" s="5"/>
      <c r="V53" s="5"/>
      <c r="W53" s="5"/>
      <c r="X53" s="5"/>
      <c r="Y53" s="5"/>
      <c r="Z53" s="4"/>
      <c r="AA53" s="123"/>
      <c r="AB53" s="130"/>
    </row>
    <row r="54" spans="1:28" s="1" customFormat="1" ht="36" customHeight="1" x14ac:dyDescent="0.25">
      <c r="A54" s="4"/>
      <c r="B54" s="136" t="s">
        <v>74</v>
      </c>
      <c r="C54" s="137"/>
      <c r="D54" s="137"/>
      <c r="E54" s="137"/>
      <c r="F54" s="137"/>
      <c r="G54" s="137"/>
      <c r="H54" s="137"/>
      <c r="I54" s="137"/>
      <c r="J54" s="137"/>
      <c r="K54" s="137"/>
      <c r="L54" s="137"/>
      <c r="M54" s="137"/>
      <c r="N54" s="137"/>
      <c r="O54" s="3"/>
      <c r="P54" s="3"/>
      <c r="Q54" s="3"/>
      <c r="R54" s="5"/>
      <c r="S54" s="5"/>
      <c r="T54" s="5"/>
      <c r="U54" s="5"/>
      <c r="V54" s="5"/>
      <c r="W54" s="5"/>
      <c r="X54" s="5"/>
      <c r="Y54" s="5"/>
      <c r="Z54" s="4"/>
      <c r="AA54" s="123"/>
      <c r="AB54" s="130"/>
    </row>
    <row r="55" spans="1:28" s="1" customFormat="1" ht="89.25" customHeight="1" x14ac:dyDescent="0.25">
      <c r="A55" s="4"/>
      <c r="B55" s="219" t="s">
        <v>159</v>
      </c>
      <c r="C55" s="220"/>
      <c r="D55" s="220"/>
      <c r="E55" s="220"/>
      <c r="F55" s="220"/>
      <c r="G55" s="220"/>
      <c r="H55" s="220"/>
      <c r="I55" s="220"/>
      <c r="J55" s="220"/>
      <c r="K55" s="220"/>
      <c r="L55" s="220"/>
      <c r="M55" s="220"/>
      <c r="N55" s="221"/>
      <c r="O55" s="3"/>
      <c r="P55" s="3"/>
      <c r="Q55" s="3"/>
      <c r="R55" s="5"/>
      <c r="S55" s="5"/>
      <c r="T55" s="5"/>
      <c r="U55" s="5"/>
      <c r="V55" s="5"/>
      <c r="W55" s="5"/>
      <c r="X55" s="5"/>
      <c r="Y55" s="5"/>
      <c r="Z55" s="4"/>
      <c r="AA55" s="123"/>
      <c r="AB55" s="130"/>
    </row>
    <row r="57" spans="1:28" x14ac:dyDescent="0.25">
      <c r="U57" s="58"/>
      <c r="V57" s="58"/>
      <c r="W57" s="58"/>
      <c r="AA57" s="58"/>
    </row>
    <row r="58" spans="1:28" x14ac:dyDescent="0.25">
      <c r="U58" s="58"/>
      <c r="V58" s="58"/>
      <c r="W58" s="58"/>
      <c r="AA58" s="58"/>
    </row>
    <row r="59" spans="1:28" x14ac:dyDescent="0.25">
      <c r="U59" s="58"/>
      <c r="V59" s="58"/>
      <c r="W59" s="58"/>
      <c r="AA59" s="58"/>
    </row>
    <row r="60" spans="1:28" x14ac:dyDescent="0.25">
      <c r="C60" s="47"/>
      <c r="D60" s="47"/>
      <c r="U60" s="58"/>
      <c r="V60" s="58"/>
      <c r="W60" s="58"/>
      <c r="AA60" s="58"/>
    </row>
    <row r="61" spans="1:28" x14ac:dyDescent="0.25">
      <c r="U61" s="58"/>
      <c r="V61" s="58"/>
      <c r="W61" s="58"/>
      <c r="AA61" s="58"/>
    </row>
    <row r="62" spans="1:28" x14ac:dyDescent="0.25">
      <c r="U62" s="58"/>
      <c r="V62" s="58"/>
      <c r="W62" s="58"/>
      <c r="AA62" s="58"/>
    </row>
    <row r="63" spans="1:28" x14ac:dyDescent="0.25">
      <c r="U63" s="58"/>
      <c r="V63" s="58"/>
      <c r="W63" s="58"/>
      <c r="AA63" s="58"/>
    </row>
    <row r="64" spans="1:28" x14ac:dyDescent="0.25">
      <c r="U64" s="58"/>
      <c r="V64" s="58"/>
      <c r="W64" s="58"/>
      <c r="AA64" s="58"/>
    </row>
    <row r="65" spans="21:27" x14ac:dyDescent="0.25">
      <c r="U65" s="58"/>
      <c r="V65" s="58"/>
      <c r="W65" s="58"/>
      <c r="AA65" s="58"/>
    </row>
    <row r="66" spans="21:27" x14ac:dyDescent="0.25">
      <c r="U66" s="58"/>
      <c r="V66" s="58"/>
      <c r="W66" s="58"/>
      <c r="AA66" s="58"/>
    </row>
    <row r="67" spans="21:27" x14ac:dyDescent="0.25">
      <c r="U67" s="58"/>
      <c r="V67" s="58"/>
      <c r="W67" s="58"/>
      <c r="AA67" s="58"/>
    </row>
    <row r="68" spans="21:27" x14ac:dyDescent="0.25">
      <c r="U68" s="58"/>
      <c r="V68" s="58"/>
      <c r="W68" s="58"/>
      <c r="AA68" s="58"/>
    </row>
    <row r="69" spans="21:27" x14ac:dyDescent="0.25">
      <c r="U69" s="58"/>
      <c r="V69" s="58"/>
      <c r="W69" s="58"/>
      <c r="AA69" s="58"/>
    </row>
    <row r="70" spans="21:27" x14ac:dyDescent="0.25">
      <c r="U70" s="58"/>
      <c r="V70" s="58"/>
      <c r="W70" s="58"/>
      <c r="AA70" s="58"/>
    </row>
    <row r="71" spans="21:27" x14ac:dyDescent="0.25">
      <c r="U71" s="58"/>
      <c r="V71" s="58"/>
      <c r="W71" s="58"/>
      <c r="AA71" s="58"/>
    </row>
    <row r="72" spans="21:27" x14ac:dyDescent="0.25">
      <c r="U72" s="58"/>
      <c r="V72" s="58"/>
      <c r="W72" s="58"/>
      <c r="AA72" s="58"/>
    </row>
    <row r="73" spans="21:27" x14ac:dyDescent="0.25">
      <c r="U73" s="58"/>
      <c r="V73" s="58"/>
      <c r="W73" s="58"/>
      <c r="AA73" s="58"/>
    </row>
    <row r="74" spans="21:27" x14ac:dyDescent="0.25">
      <c r="U74" s="58"/>
      <c r="V74" s="58"/>
      <c r="W74" s="58"/>
      <c r="AA74" s="58"/>
    </row>
    <row r="75" spans="21:27" x14ac:dyDescent="0.25">
      <c r="U75" s="58"/>
      <c r="V75" s="58"/>
      <c r="W75" s="58"/>
      <c r="AA75" s="58"/>
    </row>
    <row r="76" spans="21:27" x14ac:dyDescent="0.25">
      <c r="U76" s="58"/>
      <c r="V76" s="58"/>
      <c r="W76" s="58"/>
      <c r="AA76" s="58"/>
    </row>
    <row r="77" spans="21:27" x14ac:dyDescent="0.25">
      <c r="U77" s="58"/>
      <c r="V77" s="58"/>
      <c r="W77" s="58"/>
      <c r="AA77" s="58"/>
    </row>
    <row r="78" spans="21:27" x14ac:dyDescent="0.25">
      <c r="U78" s="58"/>
      <c r="V78" s="58"/>
      <c r="W78" s="58"/>
      <c r="AA78" s="58"/>
    </row>
    <row r="79" spans="21:27" x14ac:dyDescent="0.25">
      <c r="U79" s="58"/>
      <c r="V79" s="58"/>
      <c r="W79" s="58"/>
      <c r="AA79" s="58"/>
    </row>
    <row r="80" spans="21:27" x14ac:dyDescent="0.25">
      <c r="U80" s="58"/>
      <c r="V80" s="58"/>
      <c r="W80" s="58"/>
      <c r="AA80" s="58"/>
    </row>
    <row r="81" spans="21:27" x14ac:dyDescent="0.25">
      <c r="U81" s="58"/>
      <c r="V81" s="58"/>
      <c r="W81" s="58"/>
      <c r="AA81" s="58"/>
    </row>
    <row r="82" spans="21:27" x14ac:dyDescent="0.25">
      <c r="U82" s="58"/>
      <c r="V82" s="58"/>
      <c r="W82" s="58"/>
      <c r="AA82" s="58"/>
    </row>
    <row r="83" spans="21:27" x14ac:dyDescent="0.25">
      <c r="U83" s="58"/>
      <c r="V83" s="58"/>
      <c r="W83" s="58"/>
      <c r="AA83" s="58"/>
    </row>
    <row r="84" spans="21:27" x14ac:dyDescent="0.25">
      <c r="U84" s="58"/>
      <c r="V84" s="58"/>
      <c r="W84" s="58"/>
      <c r="AA84" s="58"/>
    </row>
    <row r="85" spans="21:27" x14ac:dyDescent="0.25">
      <c r="U85" s="58"/>
      <c r="V85" s="58"/>
      <c r="W85" s="58"/>
      <c r="AA85" s="58"/>
    </row>
    <row r="86" spans="21:27" x14ac:dyDescent="0.25">
      <c r="U86" s="58"/>
      <c r="V86" s="58"/>
      <c r="W86" s="58"/>
      <c r="AA86" s="58"/>
    </row>
    <row r="87" spans="21:27" x14ac:dyDescent="0.25">
      <c r="U87" s="58"/>
      <c r="V87" s="58"/>
      <c r="W87" s="58"/>
      <c r="AA87" s="58"/>
    </row>
    <row r="88" spans="21:27" x14ac:dyDescent="0.25">
      <c r="U88" s="58"/>
      <c r="V88" s="58"/>
      <c r="W88" s="58"/>
      <c r="AA88" s="58"/>
    </row>
    <row r="89" spans="21:27" x14ac:dyDescent="0.25">
      <c r="U89" s="58"/>
      <c r="V89" s="58"/>
      <c r="W89" s="58"/>
      <c r="AA89" s="58"/>
    </row>
    <row r="90" spans="21:27" x14ac:dyDescent="0.25">
      <c r="U90" s="58"/>
      <c r="V90" s="58"/>
      <c r="W90" s="58"/>
      <c r="AA90" s="58"/>
    </row>
    <row r="91" spans="21:27" x14ac:dyDescent="0.25">
      <c r="U91" s="58"/>
      <c r="V91" s="58"/>
      <c r="W91" s="58"/>
      <c r="AA91" s="58"/>
    </row>
    <row r="92" spans="21:27" x14ac:dyDescent="0.25">
      <c r="U92" s="58"/>
      <c r="V92" s="58"/>
      <c r="W92" s="58"/>
      <c r="AA92" s="58"/>
    </row>
    <row r="93" spans="21:27" x14ac:dyDescent="0.25">
      <c r="U93" s="58"/>
      <c r="V93" s="58"/>
      <c r="W93" s="58"/>
      <c r="AA93" s="58"/>
    </row>
    <row r="94" spans="21:27" x14ac:dyDescent="0.25">
      <c r="U94" s="58"/>
      <c r="V94" s="58"/>
      <c r="W94" s="58"/>
      <c r="AA94" s="58"/>
    </row>
    <row r="95" spans="21:27" x14ac:dyDescent="0.25">
      <c r="U95" s="58"/>
      <c r="V95" s="58"/>
      <c r="W95" s="58"/>
      <c r="AA95" s="58"/>
    </row>
    <row r="96" spans="21:27" x14ac:dyDescent="0.25">
      <c r="U96" s="58"/>
      <c r="V96" s="58"/>
      <c r="W96" s="58"/>
      <c r="AA96" s="58"/>
    </row>
    <row r="97" spans="21:27" x14ac:dyDescent="0.25">
      <c r="U97" s="58"/>
      <c r="V97" s="58"/>
      <c r="W97" s="58"/>
      <c r="AA97" s="58"/>
    </row>
    <row r="98" spans="21:27" x14ac:dyDescent="0.25">
      <c r="U98" s="58"/>
      <c r="V98" s="58"/>
      <c r="W98" s="58"/>
      <c r="AA98" s="58"/>
    </row>
    <row r="99" spans="21:27" x14ac:dyDescent="0.25">
      <c r="U99" s="58"/>
      <c r="V99" s="58"/>
      <c r="W99" s="58"/>
      <c r="AA99" s="58"/>
    </row>
    <row r="100" spans="21:27" x14ac:dyDescent="0.25">
      <c r="U100" s="58"/>
      <c r="V100" s="58"/>
      <c r="W100" s="58"/>
      <c r="AA100" s="58"/>
    </row>
  </sheetData>
  <autoFilter ref="B9:Z52" xr:uid="{00000000-0009-0000-0000-000001000000}"/>
  <mergeCells count="113">
    <mergeCell ref="W49:W50"/>
    <mergeCell ref="W35:W36"/>
    <mergeCell ref="U42:U43"/>
    <mergeCell ref="U17:U18"/>
    <mergeCell ref="V28:V29"/>
    <mergeCell ref="W28:W29"/>
    <mergeCell ref="U35:U36"/>
    <mergeCell ref="G5:R5"/>
    <mergeCell ref="S17:S18"/>
    <mergeCell ref="S28:S29"/>
    <mergeCell ref="S35:S36"/>
    <mergeCell ref="S42:S43"/>
    <mergeCell ref="O17:O18"/>
    <mergeCell ref="O28:O29"/>
    <mergeCell ref="U28:U29"/>
    <mergeCell ref="B55:N55"/>
    <mergeCell ref="Y49:Y50"/>
    <mergeCell ref="Q17:Q18"/>
    <mergeCell ref="Q28:Q29"/>
    <mergeCell ref="Q35:Q36"/>
    <mergeCell ref="Q42:Q43"/>
    <mergeCell ref="Q49:Q50"/>
    <mergeCell ref="V42:V43"/>
    <mergeCell ref="W42:W43"/>
    <mergeCell ref="Y17:Y18"/>
    <mergeCell ref="Y28:Y29"/>
    <mergeCell ref="Y35:Y36"/>
    <mergeCell ref="Y42:Y43"/>
    <mergeCell ref="V17:V18"/>
    <mergeCell ref="W17:W18"/>
    <mergeCell ref="U49:U50"/>
    <mergeCell ref="V49:V50"/>
    <mergeCell ref="J28:J29"/>
    <mergeCell ref="V35:V36"/>
    <mergeCell ref="S49:S50"/>
    <mergeCell ref="N47:N50"/>
    <mergeCell ref="O35:O36"/>
    <mergeCell ref="O42:O43"/>
    <mergeCell ref="O49:O50"/>
    <mergeCell ref="T35:T36"/>
    <mergeCell ref="T42:T43"/>
    <mergeCell ref="U8:U9"/>
    <mergeCell ref="C42:C45"/>
    <mergeCell ref="P49:P50"/>
    <mergeCell ref="T17:T18"/>
    <mergeCell ref="T28:T29"/>
    <mergeCell ref="T49:T50"/>
    <mergeCell ref="D42:D45"/>
    <mergeCell ref="H17:H18"/>
    <mergeCell ref="J17:J18"/>
    <mergeCell ref="N17:N31"/>
    <mergeCell ref="N42:N45"/>
    <mergeCell ref="N33:N40"/>
    <mergeCell ref="D17:D22"/>
    <mergeCell ref="P17:P18"/>
    <mergeCell ref="P28:P29"/>
    <mergeCell ref="P35:P36"/>
    <mergeCell ref="P42:P43"/>
    <mergeCell ref="G42:G43"/>
    <mergeCell ref="H42:H43"/>
    <mergeCell ref="J42:J43"/>
    <mergeCell ref="K17:K18"/>
    <mergeCell ref="L17:L18"/>
    <mergeCell ref="G28:G29"/>
    <mergeCell ref="H28:H29"/>
    <mergeCell ref="B42:B45"/>
    <mergeCell ref="K28:K29"/>
    <mergeCell ref="L28:L29"/>
    <mergeCell ref="L35:L36"/>
    <mergeCell ref="B2:D6"/>
    <mergeCell ref="N8:N9"/>
    <mergeCell ref="Q8:Q9"/>
    <mergeCell ref="Y8:Y9"/>
    <mergeCell ref="B8:B9"/>
    <mergeCell ref="C8:C9"/>
    <mergeCell ref="D8:D9"/>
    <mergeCell ref="F8:F9"/>
    <mergeCell ref="G8:G9"/>
    <mergeCell ref="H8:H9"/>
    <mergeCell ref="I8:M8"/>
    <mergeCell ref="O7:Q7"/>
    <mergeCell ref="S7:W7"/>
    <mergeCell ref="O8:O9"/>
    <mergeCell ref="G2:Q4"/>
    <mergeCell ref="T8:T9"/>
    <mergeCell ref="P8:P9"/>
    <mergeCell ref="S8:S9"/>
    <mergeCell ref="V8:V9"/>
    <mergeCell ref="W8:W9"/>
    <mergeCell ref="G6:R6"/>
    <mergeCell ref="B54:N54"/>
    <mergeCell ref="B11:B15"/>
    <mergeCell ref="C11:C15"/>
    <mergeCell ref="B17:B22"/>
    <mergeCell ref="G35:G36"/>
    <mergeCell ref="H35:H36"/>
    <mergeCell ref="J35:J36"/>
    <mergeCell ref="B24:B31"/>
    <mergeCell ref="B33:B40"/>
    <mergeCell ref="B47:B50"/>
    <mergeCell ref="C24:C31"/>
    <mergeCell ref="C33:C40"/>
    <mergeCell ref="C47:C50"/>
    <mergeCell ref="D11:D15"/>
    <mergeCell ref="D24:D31"/>
    <mergeCell ref="D33:D40"/>
    <mergeCell ref="D47:D50"/>
    <mergeCell ref="N11:N15"/>
    <mergeCell ref="C17:C22"/>
    <mergeCell ref="G49:G50"/>
    <mergeCell ref="H49:H50"/>
    <mergeCell ref="M49:M50"/>
    <mergeCell ref="K35:K36"/>
  </mergeCells>
  <pageMargins left="0.70866141732283472" right="0.70866141732283472" top="0.74803149606299213" bottom="0.74803149606299213" header="0.31496062992125984" footer="0.31496062992125984"/>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pageSetUpPr fitToPage="1"/>
  </sheetPr>
  <dimension ref="A1:W37"/>
  <sheetViews>
    <sheetView view="pageBreakPreview" zoomScale="60" zoomScaleNormal="60" zoomScalePageLayoutView="60" workbookViewId="0">
      <pane xSplit="1" ySplit="8" topLeftCell="B9" activePane="bottomRight" state="frozen"/>
      <selection pane="topRight" activeCell="B1" sqref="B1"/>
      <selection pane="bottomLeft" activeCell="A9" sqref="A9"/>
      <selection pane="bottomRight" activeCell="G14" sqref="G14"/>
    </sheetView>
  </sheetViews>
  <sheetFormatPr baseColWidth="10" defaultColWidth="11.42578125" defaultRowHeight="17.25" x14ac:dyDescent="0.3"/>
  <cols>
    <col min="1" max="1" width="31.42578125" style="15" customWidth="1"/>
    <col min="2" max="2" width="39.42578125" style="15" customWidth="1"/>
    <col min="3" max="3" width="16.7109375" style="26" customWidth="1"/>
    <col min="4" max="4" width="13.42578125" style="26" customWidth="1"/>
    <col min="5" max="9" width="11.7109375" style="27" customWidth="1"/>
    <col min="10" max="10" width="20.42578125" style="26" customWidth="1"/>
    <col min="11" max="12" width="14" style="26" customWidth="1"/>
    <col min="13" max="13" width="16.140625" style="27" customWidth="1"/>
    <col min="14" max="14" width="14.42578125" style="26" customWidth="1"/>
    <col min="15" max="15" width="14.42578125" style="27" customWidth="1"/>
    <col min="16" max="16" width="15.7109375" style="26" customWidth="1"/>
    <col min="17" max="17" width="14.42578125" style="27" customWidth="1"/>
    <col min="18" max="19" width="17.140625" style="26" customWidth="1"/>
    <col min="20" max="20" width="117" style="15" customWidth="1"/>
    <col min="21" max="21" width="23.28515625" style="28" customWidth="1"/>
    <col min="22" max="16384" width="11.42578125" style="15"/>
  </cols>
  <sheetData>
    <row r="1" spans="1:23" ht="25.5" customHeight="1" x14ac:dyDescent="0.3">
      <c r="A1" s="243"/>
      <c r="B1" s="243"/>
      <c r="C1" s="244" t="s">
        <v>12</v>
      </c>
      <c r="D1" s="245"/>
      <c r="E1" s="245"/>
      <c r="F1" s="245"/>
      <c r="G1" s="245"/>
      <c r="H1" s="245"/>
      <c r="I1" s="245"/>
      <c r="J1" s="245"/>
      <c r="K1" s="245"/>
      <c r="L1" s="245"/>
      <c r="M1" s="245"/>
      <c r="N1" s="245"/>
      <c r="O1" s="245"/>
      <c r="P1" s="245"/>
      <c r="Q1" s="245"/>
      <c r="R1" s="245"/>
      <c r="S1" s="246"/>
      <c r="T1" s="235" t="s">
        <v>13</v>
      </c>
      <c r="U1" s="236"/>
    </row>
    <row r="2" spans="1:23" ht="25.5" customHeight="1" x14ac:dyDescent="0.3">
      <c r="A2" s="243"/>
      <c r="B2" s="243"/>
      <c r="C2" s="247"/>
      <c r="D2" s="248"/>
      <c r="E2" s="248"/>
      <c r="F2" s="248"/>
      <c r="G2" s="248"/>
      <c r="H2" s="248"/>
      <c r="I2" s="248"/>
      <c r="J2" s="248"/>
      <c r="K2" s="248"/>
      <c r="L2" s="248"/>
      <c r="M2" s="248"/>
      <c r="N2" s="248"/>
      <c r="O2" s="248"/>
      <c r="P2" s="248"/>
      <c r="Q2" s="248"/>
      <c r="R2" s="248"/>
      <c r="S2" s="249"/>
      <c r="T2" s="235" t="s">
        <v>14</v>
      </c>
      <c r="U2" s="236"/>
    </row>
    <row r="3" spans="1:23" s="16" customFormat="1" ht="25.5" customHeight="1" x14ac:dyDescent="0.3">
      <c r="A3" s="243"/>
      <c r="B3" s="243"/>
      <c r="C3" s="250"/>
      <c r="D3" s="251"/>
      <c r="E3" s="251"/>
      <c r="F3" s="251"/>
      <c r="G3" s="251"/>
      <c r="H3" s="251"/>
      <c r="I3" s="251"/>
      <c r="J3" s="251"/>
      <c r="K3" s="251"/>
      <c r="L3" s="251"/>
      <c r="M3" s="251"/>
      <c r="N3" s="251"/>
      <c r="O3" s="251"/>
      <c r="P3" s="251"/>
      <c r="Q3" s="251"/>
      <c r="R3" s="251"/>
      <c r="S3" s="252"/>
      <c r="T3" s="235" t="s">
        <v>15</v>
      </c>
      <c r="U3" s="236"/>
    </row>
    <row r="4" spans="1:23" s="16" customFormat="1" ht="13.35" customHeight="1" x14ac:dyDescent="0.3">
      <c r="A4" s="17"/>
      <c r="B4" s="17"/>
      <c r="C4" s="17"/>
      <c r="D4" s="17"/>
      <c r="E4" s="18"/>
      <c r="F4" s="18"/>
      <c r="G4" s="18"/>
      <c r="H4" s="18"/>
      <c r="I4" s="18"/>
      <c r="J4" s="17"/>
      <c r="K4" s="17"/>
      <c r="L4" s="17"/>
      <c r="M4" s="18"/>
      <c r="N4" s="17"/>
      <c r="O4" s="18"/>
      <c r="P4" s="17"/>
      <c r="Q4" s="18"/>
      <c r="R4" s="17"/>
      <c r="S4" s="17"/>
      <c r="T4" s="17"/>
      <c r="U4" s="17"/>
    </row>
    <row r="5" spans="1:23" s="16" customFormat="1" ht="35.25" customHeight="1" x14ac:dyDescent="0.3">
      <c r="A5" s="237" t="s">
        <v>71</v>
      </c>
      <c r="B5" s="238"/>
      <c r="C5" s="238"/>
      <c r="D5" s="238"/>
      <c r="E5" s="238"/>
      <c r="F5" s="238"/>
      <c r="G5" s="238"/>
      <c r="H5" s="238"/>
      <c r="I5" s="238"/>
      <c r="J5" s="238"/>
      <c r="K5" s="238"/>
      <c r="L5" s="238"/>
      <c r="M5" s="238"/>
      <c r="N5" s="238"/>
      <c r="O5" s="238"/>
      <c r="P5" s="238"/>
      <c r="Q5" s="238"/>
      <c r="R5" s="238"/>
      <c r="S5" s="238"/>
      <c r="T5" s="238"/>
      <c r="U5" s="19"/>
    </row>
    <row r="6" spans="1:23" x14ac:dyDescent="0.3">
      <c r="A6" s="17"/>
      <c r="B6" s="17"/>
      <c r="C6" s="17"/>
      <c r="D6" s="17"/>
      <c r="E6" s="18"/>
      <c r="F6" s="18"/>
      <c r="G6" s="18"/>
      <c r="H6" s="18"/>
      <c r="I6" s="18"/>
      <c r="J6" s="17"/>
      <c r="K6" s="17"/>
      <c r="L6" s="17"/>
      <c r="M6" s="18"/>
      <c r="N6" s="17"/>
      <c r="O6" s="18"/>
      <c r="P6" s="17"/>
      <c r="Q6" s="18"/>
      <c r="R6" s="17"/>
      <c r="S6" s="17"/>
      <c r="T6" s="17"/>
      <c r="U6" s="17"/>
    </row>
    <row r="7" spans="1:23" ht="35.25" customHeight="1" x14ac:dyDescent="0.3">
      <c r="A7" s="239" t="s">
        <v>16</v>
      </c>
      <c r="B7" s="239" t="s">
        <v>17</v>
      </c>
      <c r="C7" s="239" t="s">
        <v>18</v>
      </c>
      <c r="D7" s="239" t="s">
        <v>19</v>
      </c>
      <c r="E7" s="239" t="s">
        <v>75</v>
      </c>
      <c r="F7" s="232" t="s">
        <v>81</v>
      </c>
      <c r="G7" s="233"/>
      <c r="H7" s="233"/>
      <c r="I7" s="234"/>
      <c r="J7" s="241" t="s">
        <v>82</v>
      </c>
      <c r="K7" s="239" t="s">
        <v>77</v>
      </c>
      <c r="L7" s="241" t="s">
        <v>76</v>
      </c>
      <c r="M7" s="239" t="s">
        <v>78</v>
      </c>
      <c r="N7" s="241" t="s">
        <v>79</v>
      </c>
      <c r="O7" s="239" t="s">
        <v>80</v>
      </c>
      <c r="P7" s="241" t="s">
        <v>84</v>
      </c>
      <c r="Q7" s="239" t="s">
        <v>20</v>
      </c>
      <c r="R7" s="241" t="s">
        <v>21</v>
      </c>
      <c r="S7" s="241" t="s">
        <v>22</v>
      </c>
      <c r="T7" s="242" t="s">
        <v>83</v>
      </c>
      <c r="U7" s="239" t="s">
        <v>23</v>
      </c>
    </row>
    <row r="8" spans="1:23" ht="30.75" customHeight="1" x14ac:dyDescent="0.3">
      <c r="A8" s="240"/>
      <c r="B8" s="240"/>
      <c r="C8" s="240"/>
      <c r="D8" s="240"/>
      <c r="E8" s="240"/>
      <c r="F8" s="40" t="s">
        <v>24</v>
      </c>
      <c r="G8" s="40" t="s">
        <v>25</v>
      </c>
      <c r="H8" s="40" t="s">
        <v>26</v>
      </c>
      <c r="I8" s="40" t="s">
        <v>27</v>
      </c>
      <c r="J8" s="242"/>
      <c r="K8" s="240"/>
      <c r="L8" s="242"/>
      <c r="M8" s="240"/>
      <c r="N8" s="242"/>
      <c r="O8" s="240"/>
      <c r="P8" s="242"/>
      <c r="Q8" s="240"/>
      <c r="R8" s="242"/>
      <c r="S8" s="242"/>
      <c r="T8" s="255"/>
      <c r="U8" s="240"/>
    </row>
    <row r="9" spans="1:23" ht="51.75" x14ac:dyDescent="0.3">
      <c r="A9" s="138" t="s">
        <v>29</v>
      </c>
      <c r="B9" s="31" t="s">
        <v>36</v>
      </c>
      <c r="C9" s="46"/>
      <c r="D9" s="41" t="s">
        <v>55</v>
      </c>
      <c r="E9" s="41" t="s">
        <v>55</v>
      </c>
      <c r="F9" s="41"/>
      <c r="G9" s="41"/>
      <c r="H9" s="41"/>
      <c r="I9" s="41"/>
      <c r="J9" s="46"/>
      <c r="K9" s="41" t="s">
        <v>55</v>
      </c>
      <c r="L9" s="46"/>
      <c r="M9" s="41" t="s">
        <v>58</v>
      </c>
      <c r="N9" s="46"/>
      <c r="O9" s="41" t="s">
        <v>58</v>
      </c>
      <c r="P9" s="46"/>
      <c r="Q9" s="46"/>
      <c r="R9" s="46"/>
      <c r="S9" s="46"/>
      <c r="T9" s="51"/>
      <c r="U9" s="46"/>
      <c r="W9" s="20"/>
    </row>
    <row r="10" spans="1:23" ht="51.75" x14ac:dyDescent="0.3">
      <c r="A10" s="138"/>
      <c r="B10" s="31" t="s">
        <v>37</v>
      </c>
      <c r="C10" s="46"/>
      <c r="D10" s="42">
        <v>0.31</v>
      </c>
      <c r="E10" s="34">
        <v>0.77</v>
      </c>
      <c r="F10" s="34">
        <v>0.1</v>
      </c>
      <c r="G10" s="34">
        <v>0.2</v>
      </c>
      <c r="H10" s="34"/>
      <c r="I10" s="34"/>
      <c r="J10" s="46"/>
      <c r="K10" s="34">
        <v>0.8</v>
      </c>
      <c r="L10" s="46"/>
      <c r="M10" s="34">
        <v>0.85</v>
      </c>
      <c r="N10" s="46"/>
      <c r="O10" s="34">
        <v>0.85</v>
      </c>
      <c r="P10" s="46"/>
      <c r="Q10" s="46"/>
      <c r="R10" s="46"/>
      <c r="S10" s="46"/>
      <c r="T10" s="51"/>
      <c r="U10" s="46"/>
      <c r="W10" s="20"/>
    </row>
    <row r="11" spans="1:23" ht="51.75" x14ac:dyDescent="0.3">
      <c r="A11" s="138"/>
      <c r="B11" s="39" t="s">
        <v>38</v>
      </c>
      <c r="C11" s="46"/>
      <c r="D11" s="38">
        <v>1</v>
      </c>
      <c r="E11" s="38">
        <v>1</v>
      </c>
      <c r="F11" s="38">
        <v>1</v>
      </c>
      <c r="G11" s="38">
        <v>1</v>
      </c>
      <c r="H11" s="38"/>
      <c r="I11" s="38"/>
      <c r="J11" s="46"/>
      <c r="K11" s="38">
        <v>1</v>
      </c>
      <c r="L11" s="46"/>
      <c r="M11" s="38">
        <v>1</v>
      </c>
      <c r="N11" s="46"/>
      <c r="O11" s="38">
        <v>1</v>
      </c>
      <c r="P11" s="46"/>
      <c r="Q11" s="46"/>
      <c r="R11" s="46"/>
      <c r="S11" s="46"/>
      <c r="T11" s="51"/>
      <c r="U11" s="46"/>
      <c r="W11" s="20"/>
    </row>
    <row r="12" spans="1:23" ht="34.5" x14ac:dyDescent="0.3">
      <c r="A12" s="145" t="s">
        <v>30</v>
      </c>
      <c r="B12" s="39" t="s">
        <v>39</v>
      </c>
      <c r="C12" s="46"/>
      <c r="D12" s="35">
        <v>1200</v>
      </c>
      <c r="E12" s="35">
        <f>200+15+23</f>
        <v>238</v>
      </c>
      <c r="F12" s="35"/>
      <c r="G12" s="35"/>
      <c r="H12" s="35"/>
      <c r="I12" s="35"/>
      <c r="J12" s="46"/>
      <c r="K12" s="35">
        <v>179</v>
      </c>
      <c r="L12" s="46"/>
      <c r="M12" s="35">
        <v>179</v>
      </c>
      <c r="N12" s="46"/>
      <c r="O12" s="35">
        <v>179</v>
      </c>
      <c r="P12" s="46"/>
      <c r="Q12" s="46"/>
      <c r="R12" s="46"/>
      <c r="S12" s="46"/>
      <c r="T12" s="51"/>
      <c r="U12" s="46"/>
      <c r="W12" s="20"/>
    </row>
    <row r="13" spans="1:23" ht="51.75" x14ac:dyDescent="0.3">
      <c r="A13" s="145"/>
      <c r="B13" s="39" t="s">
        <v>40</v>
      </c>
      <c r="C13" s="46"/>
      <c r="D13" s="35">
        <v>28998</v>
      </c>
      <c r="E13" s="35">
        <v>12000</v>
      </c>
      <c r="F13" s="35" t="s">
        <v>85</v>
      </c>
      <c r="G13" s="35" t="s">
        <v>86</v>
      </c>
      <c r="H13" s="35"/>
      <c r="I13" s="35"/>
      <c r="J13" s="46"/>
      <c r="K13" s="35">
        <v>13000</v>
      </c>
      <c r="L13" s="46"/>
      <c r="M13" s="35">
        <v>14500</v>
      </c>
      <c r="N13" s="46"/>
      <c r="O13" s="35">
        <v>15500</v>
      </c>
      <c r="P13" s="46"/>
      <c r="Q13" s="46"/>
      <c r="R13" s="46"/>
      <c r="S13" s="46"/>
      <c r="T13" s="51"/>
      <c r="U13" s="46"/>
      <c r="W13" s="20"/>
    </row>
    <row r="14" spans="1:23" ht="51.75" x14ac:dyDescent="0.3">
      <c r="A14" s="145"/>
      <c r="B14" s="39" t="s">
        <v>41</v>
      </c>
      <c r="C14" s="46"/>
      <c r="D14" s="35" t="s">
        <v>56</v>
      </c>
      <c r="E14" s="35" t="s">
        <v>56</v>
      </c>
      <c r="F14" s="35"/>
      <c r="G14" s="35"/>
      <c r="H14" s="35"/>
      <c r="I14" s="35"/>
      <c r="J14" s="46"/>
      <c r="K14" s="49">
        <v>0.9</v>
      </c>
      <c r="L14" s="46"/>
      <c r="M14" s="49">
        <v>0.9</v>
      </c>
      <c r="N14" s="46"/>
      <c r="O14" s="49">
        <v>0.91</v>
      </c>
      <c r="P14" s="46"/>
      <c r="Q14" s="46"/>
      <c r="R14" s="46"/>
      <c r="S14" s="46"/>
      <c r="T14" s="51"/>
      <c r="U14" s="46"/>
      <c r="W14" s="20"/>
    </row>
    <row r="15" spans="1:23" ht="103.5" x14ac:dyDescent="0.3">
      <c r="A15" s="145" t="s">
        <v>31</v>
      </c>
      <c r="B15" s="39" t="s">
        <v>42</v>
      </c>
      <c r="C15" s="46"/>
      <c r="D15" s="35">
        <v>0</v>
      </c>
      <c r="E15" s="39">
        <v>3500</v>
      </c>
      <c r="F15" s="39"/>
      <c r="G15" s="39"/>
      <c r="H15" s="39"/>
      <c r="I15" s="39"/>
      <c r="J15" s="46"/>
      <c r="K15" s="39">
        <v>5000</v>
      </c>
      <c r="L15" s="46"/>
      <c r="M15" s="39">
        <v>17000</v>
      </c>
      <c r="N15" s="46"/>
      <c r="O15" s="39">
        <v>8500</v>
      </c>
      <c r="P15" s="46"/>
      <c r="Q15" s="46"/>
      <c r="R15" s="46"/>
      <c r="S15" s="46"/>
      <c r="T15" s="51"/>
      <c r="U15" s="46"/>
      <c r="W15" s="20"/>
    </row>
    <row r="16" spans="1:23" ht="69" x14ac:dyDescent="0.3">
      <c r="A16" s="145"/>
      <c r="B16" s="32" t="s">
        <v>43</v>
      </c>
      <c r="C16" s="46"/>
      <c r="D16" s="35">
        <v>1160</v>
      </c>
      <c r="E16" s="39">
        <v>680</v>
      </c>
      <c r="F16" s="39"/>
      <c r="G16" s="39"/>
      <c r="H16" s="39"/>
      <c r="I16" s="39"/>
      <c r="J16" s="46"/>
      <c r="K16" s="39">
        <v>600</v>
      </c>
      <c r="L16" s="46"/>
      <c r="M16" s="39">
        <v>580</v>
      </c>
      <c r="N16" s="46"/>
      <c r="O16" s="39">
        <v>580</v>
      </c>
      <c r="P16" s="46"/>
      <c r="Q16" s="46"/>
      <c r="R16" s="46"/>
      <c r="S16" s="46"/>
      <c r="T16" s="51"/>
      <c r="U16" s="46"/>
      <c r="W16" s="20"/>
    </row>
    <row r="17" spans="1:23" ht="51.75" x14ac:dyDescent="0.3">
      <c r="A17" s="145"/>
      <c r="B17" s="39" t="s">
        <v>44</v>
      </c>
      <c r="C17" s="46"/>
      <c r="D17" s="35">
        <v>3492</v>
      </c>
      <c r="E17" s="39">
        <v>930</v>
      </c>
      <c r="F17" s="39"/>
      <c r="G17" s="39"/>
      <c r="H17" s="39"/>
      <c r="I17" s="39"/>
      <c r="J17" s="46"/>
      <c r="K17" s="39">
        <v>920</v>
      </c>
      <c r="L17" s="46"/>
      <c r="M17" s="36">
        <v>920</v>
      </c>
      <c r="N17" s="46"/>
      <c r="O17" s="36">
        <v>920</v>
      </c>
      <c r="P17" s="46"/>
      <c r="Q17" s="46"/>
      <c r="R17" s="46"/>
      <c r="S17" s="46"/>
      <c r="T17" s="51"/>
      <c r="U17" s="46"/>
      <c r="W17" s="20"/>
    </row>
    <row r="18" spans="1:23" ht="34.5" x14ac:dyDescent="0.3">
      <c r="A18" s="145"/>
      <c r="B18" s="39" t="s">
        <v>45</v>
      </c>
      <c r="C18" s="46"/>
      <c r="D18" s="35">
        <f>148+179</f>
        <v>327</v>
      </c>
      <c r="E18" s="36">
        <v>200</v>
      </c>
      <c r="F18" s="36"/>
      <c r="G18" s="36"/>
      <c r="H18" s="36"/>
      <c r="I18" s="36"/>
      <c r="J18" s="46"/>
      <c r="K18" s="36">
        <v>200</v>
      </c>
      <c r="L18" s="46"/>
      <c r="M18" s="36">
        <v>200</v>
      </c>
      <c r="N18" s="46"/>
      <c r="O18" s="36">
        <v>200</v>
      </c>
      <c r="P18" s="46"/>
      <c r="Q18" s="46"/>
      <c r="R18" s="46"/>
      <c r="S18" s="46"/>
      <c r="T18" s="51"/>
      <c r="U18" s="46"/>
      <c r="W18" s="20"/>
    </row>
    <row r="19" spans="1:23" ht="69" x14ac:dyDescent="0.3">
      <c r="A19" s="138" t="s">
        <v>32</v>
      </c>
      <c r="B19" s="39" t="s">
        <v>46</v>
      </c>
      <c r="C19" s="46"/>
      <c r="D19" s="35">
        <v>4000</v>
      </c>
      <c r="E19" s="36">
        <v>600</v>
      </c>
      <c r="F19" s="36"/>
      <c r="G19" s="36"/>
      <c r="H19" s="36"/>
      <c r="I19" s="36"/>
      <c r="J19" s="46"/>
      <c r="K19" s="36">
        <v>1500</v>
      </c>
      <c r="L19" s="46"/>
      <c r="M19" s="36">
        <v>1500</v>
      </c>
      <c r="N19" s="46"/>
      <c r="O19" s="36">
        <v>600</v>
      </c>
      <c r="P19" s="46"/>
      <c r="Q19" s="46"/>
      <c r="R19" s="46"/>
      <c r="S19" s="46"/>
      <c r="T19" s="51"/>
      <c r="U19" s="46"/>
      <c r="W19" s="20"/>
    </row>
    <row r="20" spans="1:23" ht="34.5" x14ac:dyDescent="0.3">
      <c r="A20" s="138"/>
      <c r="B20" s="39" t="s">
        <v>47</v>
      </c>
      <c r="C20" s="46"/>
      <c r="D20" s="35">
        <v>5390</v>
      </c>
      <c r="E20" s="36">
        <v>444</v>
      </c>
      <c r="F20" s="36"/>
      <c r="G20" s="36"/>
      <c r="H20" s="36"/>
      <c r="I20" s="36"/>
      <c r="J20" s="46"/>
      <c r="K20" s="36">
        <v>410</v>
      </c>
      <c r="L20" s="46"/>
      <c r="M20" s="36">
        <v>410</v>
      </c>
      <c r="N20" s="46"/>
      <c r="O20" s="36">
        <v>410</v>
      </c>
      <c r="P20" s="46"/>
      <c r="Q20" s="46"/>
      <c r="R20" s="46"/>
      <c r="S20" s="46"/>
      <c r="T20" s="51"/>
      <c r="U20" s="46"/>
      <c r="W20" s="20"/>
    </row>
    <row r="21" spans="1:23" ht="34.5" x14ac:dyDescent="0.3">
      <c r="A21" s="138"/>
      <c r="B21" s="39" t="s">
        <v>48</v>
      </c>
      <c r="C21" s="46"/>
      <c r="D21" s="35">
        <v>1720</v>
      </c>
      <c r="E21" s="36">
        <v>500</v>
      </c>
      <c r="F21" s="36"/>
      <c r="G21" s="36"/>
      <c r="H21" s="36"/>
      <c r="I21" s="36"/>
      <c r="J21" s="46"/>
      <c r="K21" s="36">
        <v>520</v>
      </c>
      <c r="L21" s="46"/>
      <c r="M21" s="36">
        <v>530</v>
      </c>
      <c r="N21" s="46"/>
      <c r="O21" s="36">
        <v>550</v>
      </c>
      <c r="P21" s="46"/>
      <c r="Q21" s="46"/>
      <c r="R21" s="46"/>
      <c r="S21" s="46"/>
      <c r="T21" s="51"/>
      <c r="U21" s="46"/>
      <c r="W21" s="20"/>
    </row>
    <row r="22" spans="1:23" ht="34.5" x14ac:dyDescent="0.3">
      <c r="A22" s="138"/>
      <c r="B22" s="39" t="s">
        <v>49</v>
      </c>
      <c r="C22" s="46"/>
      <c r="D22" s="35">
        <v>25</v>
      </c>
      <c r="E22" s="36">
        <v>11</v>
      </c>
      <c r="F22" s="36"/>
      <c r="G22" s="36"/>
      <c r="H22" s="36"/>
      <c r="I22" s="36"/>
      <c r="J22" s="46"/>
      <c r="K22" s="36">
        <v>14</v>
      </c>
      <c r="L22" s="46"/>
      <c r="M22" s="36">
        <v>16</v>
      </c>
      <c r="N22" s="46"/>
      <c r="O22" s="36">
        <v>18</v>
      </c>
      <c r="P22" s="46"/>
      <c r="Q22" s="46"/>
      <c r="R22" s="46"/>
      <c r="S22" s="46"/>
      <c r="T22" s="51"/>
      <c r="U22" s="46"/>
      <c r="W22" s="20"/>
    </row>
    <row r="23" spans="1:23" ht="51.75" x14ac:dyDescent="0.3">
      <c r="A23" s="156" t="s">
        <v>33</v>
      </c>
      <c r="B23" s="31" t="s">
        <v>50</v>
      </c>
      <c r="C23" s="46"/>
      <c r="D23" s="35" t="s">
        <v>57</v>
      </c>
      <c r="E23" s="39">
        <v>25</v>
      </c>
      <c r="F23" s="39"/>
      <c r="G23" s="39"/>
      <c r="H23" s="39"/>
      <c r="I23" s="39"/>
      <c r="J23" s="46"/>
      <c r="K23" s="39">
        <v>30</v>
      </c>
      <c r="L23" s="46"/>
      <c r="M23" s="39">
        <v>35</v>
      </c>
      <c r="N23" s="46"/>
      <c r="O23" s="39">
        <v>35</v>
      </c>
      <c r="P23" s="46"/>
      <c r="Q23" s="46"/>
      <c r="R23" s="46"/>
      <c r="S23" s="46"/>
      <c r="T23" s="51"/>
      <c r="U23" s="46"/>
      <c r="W23" s="20"/>
    </row>
    <row r="24" spans="1:23" ht="69" x14ac:dyDescent="0.3">
      <c r="A24" s="156"/>
      <c r="B24" s="31" t="s">
        <v>51</v>
      </c>
      <c r="C24" s="46"/>
      <c r="D24" s="35">
        <v>84</v>
      </c>
      <c r="E24" s="37">
        <v>11</v>
      </c>
      <c r="F24" s="37"/>
      <c r="G24" s="37"/>
      <c r="H24" s="37"/>
      <c r="I24" s="37"/>
      <c r="J24" s="46"/>
      <c r="K24" s="50">
        <v>30</v>
      </c>
      <c r="L24" s="46"/>
      <c r="M24" s="50">
        <v>20</v>
      </c>
      <c r="N24" s="46"/>
      <c r="O24" s="50">
        <v>40</v>
      </c>
      <c r="P24" s="46"/>
      <c r="Q24" s="46"/>
      <c r="R24" s="46"/>
      <c r="S24" s="46"/>
      <c r="T24" s="51"/>
      <c r="U24" s="46"/>
      <c r="W24" s="20"/>
    </row>
    <row r="25" spans="1:23" ht="34.5" x14ac:dyDescent="0.3">
      <c r="A25" s="146" t="s">
        <v>34</v>
      </c>
      <c r="B25" s="39" t="s">
        <v>52</v>
      </c>
      <c r="C25" s="46"/>
      <c r="D25" s="35">
        <v>84</v>
      </c>
      <c r="E25" s="37">
        <v>10</v>
      </c>
      <c r="F25" s="37"/>
      <c r="G25" s="37"/>
      <c r="H25" s="37"/>
      <c r="I25" s="37"/>
      <c r="J25" s="46"/>
      <c r="K25" s="37">
        <v>20</v>
      </c>
      <c r="L25" s="46"/>
      <c r="M25" s="37">
        <v>30</v>
      </c>
      <c r="N25" s="46"/>
      <c r="O25" s="39">
        <v>66</v>
      </c>
      <c r="P25" s="46"/>
      <c r="Q25" s="46"/>
      <c r="R25" s="46"/>
      <c r="S25" s="46"/>
      <c r="T25" s="51"/>
      <c r="U25" s="46"/>
      <c r="W25" s="20"/>
    </row>
    <row r="26" spans="1:23" x14ac:dyDescent="0.3">
      <c r="A26" s="146"/>
      <c r="B26" s="39" t="s">
        <v>53</v>
      </c>
      <c r="C26" s="46"/>
      <c r="D26" s="35">
        <v>20</v>
      </c>
      <c r="E26" s="39">
        <v>4</v>
      </c>
      <c r="F26" s="39"/>
      <c r="G26" s="39"/>
      <c r="H26" s="39"/>
      <c r="I26" s="39"/>
      <c r="J26" s="46"/>
      <c r="K26" s="39">
        <v>7</v>
      </c>
      <c r="L26" s="46"/>
      <c r="M26" s="39">
        <v>7</v>
      </c>
      <c r="N26" s="46"/>
      <c r="O26" s="39">
        <v>7</v>
      </c>
      <c r="P26" s="46"/>
      <c r="Q26" s="46"/>
      <c r="R26" s="46"/>
      <c r="S26" s="46"/>
      <c r="T26" s="51"/>
      <c r="U26" s="46"/>
      <c r="W26" s="20"/>
    </row>
    <row r="27" spans="1:23" x14ac:dyDescent="0.3">
      <c r="A27" s="256" t="s">
        <v>35</v>
      </c>
      <c r="B27" s="230" t="s">
        <v>54</v>
      </c>
      <c r="C27" s="46"/>
      <c r="D27" s="257">
        <v>1</v>
      </c>
      <c r="E27" s="257">
        <v>1</v>
      </c>
      <c r="F27" s="38"/>
      <c r="G27" s="38"/>
      <c r="H27" s="38"/>
      <c r="I27" s="38"/>
      <c r="J27" s="46"/>
      <c r="K27" s="257">
        <v>1</v>
      </c>
      <c r="L27" s="46"/>
      <c r="M27" s="257">
        <v>1</v>
      </c>
      <c r="N27" s="46"/>
      <c r="O27" s="257">
        <v>1</v>
      </c>
      <c r="P27" s="46"/>
      <c r="Q27" s="46"/>
      <c r="R27" s="46"/>
      <c r="S27" s="46"/>
      <c r="T27" s="51"/>
      <c r="U27" s="46"/>
      <c r="W27" s="20"/>
    </row>
    <row r="28" spans="1:23" x14ac:dyDescent="0.3">
      <c r="A28" s="256"/>
      <c r="B28" s="230"/>
      <c r="C28" s="46"/>
      <c r="D28" s="230"/>
      <c r="E28" s="230"/>
      <c r="F28" s="39"/>
      <c r="G28" s="39"/>
      <c r="H28" s="39"/>
      <c r="I28" s="39"/>
      <c r="J28" s="46"/>
      <c r="K28" s="230"/>
      <c r="L28" s="46"/>
      <c r="M28" s="230"/>
      <c r="N28" s="46"/>
      <c r="O28" s="230"/>
      <c r="P28" s="46"/>
      <c r="Q28" s="46"/>
      <c r="R28" s="46"/>
      <c r="S28" s="46"/>
      <c r="T28" s="51"/>
      <c r="U28" s="46"/>
      <c r="W28" s="20"/>
    </row>
    <row r="29" spans="1:23" x14ac:dyDescent="0.3">
      <c r="A29" s="256"/>
      <c r="B29" s="230"/>
      <c r="C29" s="46"/>
      <c r="D29" s="230"/>
      <c r="E29" s="230"/>
      <c r="F29" s="39"/>
      <c r="G29" s="39"/>
      <c r="H29" s="39"/>
      <c r="I29" s="39"/>
      <c r="J29" s="46"/>
      <c r="K29" s="230"/>
      <c r="L29" s="46"/>
      <c r="M29" s="230"/>
      <c r="N29" s="46"/>
      <c r="O29" s="230"/>
      <c r="P29" s="46"/>
      <c r="Q29" s="46"/>
      <c r="R29" s="46"/>
      <c r="S29" s="46"/>
      <c r="T29" s="51"/>
      <c r="U29" s="46"/>
      <c r="W29" s="20"/>
    </row>
    <row r="30" spans="1:23" x14ac:dyDescent="0.3">
      <c r="A30" s="256"/>
      <c r="B30" s="230"/>
      <c r="C30" s="46"/>
      <c r="D30" s="230"/>
      <c r="E30" s="230"/>
      <c r="F30" s="39"/>
      <c r="G30" s="39"/>
      <c r="H30" s="39"/>
      <c r="I30" s="39"/>
      <c r="J30" s="46"/>
      <c r="K30" s="230"/>
      <c r="L30" s="46"/>
      <c r="M30" s="230"/>
      <c r="N30" s="46"/>
      <c r="O30" s="230"/>
      <c r="P30" s="46"/>
      <c r="Q30" s="46"/>
      <c r="R30" s="46"/>
      <c r="S30" s="46"/>
      <c r="T30" s="51"/>
      <c r="U30" s="46"/>
      <c r="W30" s="20"/>
    </row>
    <row r="31" spans="1:23" x14ac:dyDescent="0.3">
      <c r="A31" s="256"/>
      <c r="B31" s="230"/>
      <c r="C31" s="46"/>
      <c r="D31" s="230"/>
      <c r="E31" s="230"/>
      <c r="F31" s="39"/>
      <c r="G31" s="39"/>
      <c r="H31" s="39"/>
      <c r="I31" s="39"/>
      <c r="J31" s="46"/>
      <c r="K31" s="230"/>
      <c r="L31" s="46"/>
      <c r="M31" s="230"/>
      <c r="N31" s="46"/>
      <c r="O31" s="230"/>
      <c r="P31" s="46"/>
      <c r="Q31" s="46"/>
      <c r="R31" s="46"/>
      <c r="S31" s="46"/>
      <c r="T31" s="51"/>
      <c r="U31" s="46"/>
      <c r="W31" s="20"/>
    </row>
    <row r="32" spans="1:23" x14ac:dyDescent="0.3">
      <c r="A32" s="256"/>
      <c r="B32" s="230"/>
      <c r="C32" s="46"/>
      <c r="D32" s="230"/>
      <c r="E32" s="230"/>
      <c r="F32" s="39"/>
      <c r="G32" s="39"/>
      <c r="H32" s="39"/>
      <c r="I32" s="39"/>
      <c r="J32" s="46"/>
      <c r="K32" s="230"/>
      <c r="L32" s="46"/>
      <c r="M32" s="230"/>
      <c r="N32" s="46"/>
      <c r="O32" s="230"/>
      <c r="P32" s="46"/>
      <c r="Q32" s="46"/>
      <c r="R32" s="46"/>
      <c r="S32" s="46"/>
      <c r="T32" s="51"/>
      <c r="U32" s="46"/>
      <c r="W32" s="20"/>
    </row>
    <row r="33" spans="1:23" x14ac:dyDescent="0.3">
      <c r="A33" s="256"/>
      <c r="B33" s="230"/>
      <c r="C33" s="46"/>
      <c r="D33" s="230"/>
      <c r="E33" s="230"/>
      <c r="F33" s="39"/>
      <c r="G33" s="39"/>
      <c r="H33" s="39"/>
      <c r="I33" s="39"/>
      <c r="J33" s="46"/>
      <c r="K33" s="230"/>
      <c r="L33" s="46"/>
      <c r="M33" s="230"/>
      <c r="N33" s="46"/>
      <c r="O33" s="230"/>
      <c r="P33" s="46"/>
      <c r="Q33" s="46"/>
      <c r="R33" s="46"/>
      <c r="S33" s="46"/>
      <c r="T33" s="51"/>
      <c r="U33" s="46"/>
      <c r="W33" s="20"/>
    </row>
    <row r="34" spans="1:23" x14ac:dyDescent="0.3">
      <c r="A34" s="256"/>
      <c r="B34" s="230"/>
      <c r="C34" s="46"/>
      <c r="D34" s="230"/>
      <c r="E34" s="230"/>
      <c r="F34" s="39"/>
      <c r="G34" s="39"/>
      <c r="H34" s="39"/>
      <c r="I34" s="39"/>
      <c r="J34" s="46"/>
      <c r="K34" s="230"/>
      <c r="L34" s="46"/>
      <c r="M34" s="230"/>
      <c r="N34" s="46"/>
      <c r="O34" s="230"/>
      <c r="P34" s="46"/>
      <c r="Q34" s="46"/>
      <c r="R34" s="46"/>
      <c r="S34" s="46"/>
      <c r="T34" s="51"/>
      <c r="U34" s="46"/>
      <c r="W34" s="20"/>
    </row>
    <row r="35" spans="1:23" x14ac:dyDescent="0.3">
      <c r="A35" s="21"/>
      <c r="B35" s="22"/>
      <c r="C35" s="23"/>
      <c r="D35" s="23"/>
      <c r="E35" s="24"/>
      <c r="F35" s="24"/>
      <c r="G35" s="24"/>
      <c r="H35" s="24"/>
      <c r="I35" s="24"/>
      <c r="J35" s="25"/>
      <c r="K35" s="25"/>
      <c r="L35" s="25"/>
      <c r="M35" s="24"/>
      <c r="N35" s="25"/>
      <c r="O35" s="24"/>
      <c r="P35" s="25"/>
      <c r="Q35" s="24"/>
      <c r="R35" s="25"/>
      <c r="S35" s="25"/>
      <c r="T35" s="25"/>
      <c r="U35" s="23"/>
    </row>
    <row r="36" spans="1:23" x14ac:dyDescent="0.3">
      <c r="A36" s="253"/>
      <c r="B36" s="254"/>
      <c r="C36" s="254"/>
      <c r="D36" s="254"/>
      <c r="E36" s="254"/>
      <c r="F36" s="254"/>
      <c r="G36" s="254"/>
      <c r="H36" s="254"/>
      <c r="I36" s="254"/>
      <c r="J36" s="254"/>
      <c r="K36" s="254"/>
      <c r="L36" s="254"/>
      <c r="M36" s="254"/>
      <c r="N36" s="254"/>
      <c r="O36" s="254"/>
      <c r="P36" s="254"/>
      <c r="Q36" s="254"/>
      <c r="R36" s="254"/>
      <c r="S36" s="254"/>
      <c r="T36" s="254"/>
      <c r="U36" s="254"/>
    </row>
    <row r="37" spans="1:23" x14ac:dyDescent="0.3">
      <c r="A37" s="253"/>
      <c r="B37" s="254"/>
      <c r="C37" s="254"/>
      <c r="D37" s="254"/>
      <c r="E37" s="254"/>
      <c r="F37" s="254"/>
      <c r="G37" s="254"/>
      <c r="H37" s="254"/>
      <c r="I37" s="254"/>
      <c r="J37" s="254"/>
      <c r="K37" s="254"/>
      <c r="L37" s="254"/>
      <c r="M37" s="254"/>
      <c r="N37" s="254"/>
      <c r="O37" s="254"/>
      <c r="P37" s="254"/>
      <c r="Q37" s="254"/>
      <c r="R37" s="254"/>
      <c r="S37" s="254"/>
      <c r="T37" s="254"/>
      <c r="U37" s="254"/>
    </row>
  </sheetData>
  <mergeCells count="39">
    <mergeCell ref="A36:U36"/>
    <mergeCell ref="A15:A18"/>
    <mergeCell ref="A19:A22"/>
    <mergeCell ref="A23:A24"/>
    <mergeCell ref="A25:A26"/>
    <mergeCell ref="A27:A34"/>
    <mergeCell ref="B27:B34"/>
    <mergeCell ref="E27:E34"/>
    <mergeCell ref="D27:D34"/>
    <mergeCell ref="K27:K34"/>
    <mergeCell ref="M27:M34"/>
    <mergeCell ref="O27:O34"/>
    <mergeCell ref="A37:U37"/>
    <mergeCell ref="P7:P8"/>
    <mergeCell ref="Q7:Q8"/>
    <mergeCell ref="R7:R8"/>
    <mergeCell ref="S7:S8"/>
    <mergeCell ref="T7:T8"/>
    <mergeCell ref="U7:U8"/>
    <mergeCell ref="K7:K8"/>
    <mergeCell ref="L7:L8"/>
    <mergeCell ref="M7:M8"/>
    <mergeCell ref="N7:N8"/>
    <mergeCell ref="O7:O8"/>
    <mergeCell ref="A7:A8"/>
    <mergeCell ref="B7:B8"/>
    <mergeCell ref="C7:C8"/>
    <mergeCell ref="A9:A11"/>
    <mergeCell ref="A12:A14"/>
    <mergeCell ref="F7:I7"/>
    <mergeCell ref="T1:U1"/>
    <mergeCell ref="T2:U2"/>
    <mergeCell ref="T3:U3"/>
    <mergeCell ref="A5:T5"/>
    <mergeCell ref="D7:D8"/>
    <mergeCell ref="E7:E8"/>
    <mergeCell ref="J7:J8"/>
    <mergeCell ref="A1:B3"/>
    <mergeCell ref="C1:S3"/>
  </mergeCells>
  <printOptions horizontalCentered="1" verticalCentered="1"/>
  <pageMargins left="0.43307086614173229" right="0.43307086614173229" top="0.74803149606299213" bottom="0.55118110236220474" header="0.31496062992125984" footer="0.11811023622047245"/>
  <pageSetup scale="21" orientation="portrait" r:id="rId1"/>
  <headerFooter differentFirst="1">
    <oddFooter>&amp;RPágina &amp;P de &amp;N</oddFooter>
  </headerFooter>
  <rowBreaks count="1" manualBreakCount="1">
    <brk id="34" max="20" man="1"/>
  </row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RESUMEN VERSIONES</vt:lpstr>
      <vt:lpstr>SEGUIMIENTO PEI REV</vt:lpstr>
      <vt:lpstr>COMENTARIOS SEGUIMIENTO OAP</vt:lpstr>
      <vt:lpstr>'COMENTARIOS SEGUIMIENTO OAP'!Área_de_impresión</vt:lpstr>
      <vt:lpstr>'SEGUIMIENTO PEI REV'!Área_de_impresión</vt:lpstr>
      <vt:lpstr>'COMENTARIOS SEGUIMIENTO OAP'!Títulos_a_imprimir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Alberto Diaz Mantilla</dc:creator>
  <cp:lastModifiedBy>Guillermo Alba Cardenas</cp:lastModifiedBy>
  <dcterms:created xsi:type="dcterms:W3CDTF">2017-05-17T14:38:39Z</dcterms:created>
  <dcterms:modified xsi:type="dcterms:W3CDTF">2020-05-12T23:23:45Z</dcterms:modified>
</cp:coreProperties>
</file>